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9150" firstSheet="2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август -по ПУ" sheetId="13" r:id="rId13"/>
    <sheet name="октябрь -по ПУ" sheetId="14" r:id="rId14"/>
    <sheet name="октябрь (2)" sheetId="15" r:id="rId15"/>
    <sheet name="Лист2" sheetId="16" r:id="rId16"/>
    <sheet name="Лист4" sheetId="17" r:id="rId17"/>
    <sheet name="Лист3" sheetId="18" r:id="rId18"/>
    <sheet name="Лист1" sheetId="19" r:id="rId19"/>
  </sheets>
  <definedNames/>
  <calcPr fullCalcOnLoad="1"/>
</workbook>
</file>

<file path=xl/sharedStrings.xml><?xml version="1.0" encoding="utf-8"?>
<sst xmlns="http://schemas.openxmlformats.org/spreadsheetml/2006/main" count="1384" uniqueCount="200">
  <si>
    <t>Александровка 1</t>
  </si>
  <si>
    <t>Александровка 5</t>
  </si>
  <si>
    <t>Александровка 7</t>
  </si>
  <si>
    <t>Баскакова 7</t>
  </si>
  <si>
    <t>Баскакова 9</t>
  </si>
  <si>
    <t>Баскакова 11</t>
  </si>
  <si>
    <t>Васильковского 1</t>
  </si>
  <si>
    <t>Васильковского 1-офис</t>
  </si>
  <si>
    <t>Ленина 32</t>
  </si>
  <si>
    <t>Ленина 38</t>
  </si>
  <si>
    <t>Учебная 5</t>
  </si>
  <si>
    <t>Учебная 11</t>
  </si>
  <si>
    <t>Учебная 13</t>
  </si>
  <si>
    <t>Учебная 15</t>
  </si>
  <si>
    <t>Учебная 15-а</t>
  </si>
  <si>
    <t>Учебная 17</t>
  </si>
  <si>
    <t>Учебная 21</t>
  </si>
  <si>
    <t>Итого</t>
  </si>
  <si>
    <t>адрес</t>
  </si>
  <si>
    <t>т.  г/в</t>
  </si>
  <si>
    <t>т. х/в</t>
  </si>
  <si>
    <t>итого т</t>
  </si>
  <si>
    <t>Всего г/к</t>
  </si>
  <si>
    <t>цена</t>
  </si>
  <si>
    <t>сумма г/в</t>
  </si>
  <si>
    <t>гор. вода</t>
  </si>
  <si>
    <t>Итого:</t>
  </si>
  <si>
    <t>сумма</t>
  </si>
  <si>
    <t>Васильковского д.1</t>
  </si>
  <si>
    <t>Васильковского д.1оф</t>
  </si>
  <si>
    <t>пр. Ленина д.32</t>
  </si>
  <si>
    <t>пр. Ленина 38</t>
  </si>
  <si>
    <t>цена г/в</t>
  </si>
  <si>
    <t>цена г/кал</t>
  </si>
  <si>
    <t>г/к получ</t>
  </si>
  <si>
    <t>т х/в</t>
  </si>
  <si>
    <t>цена х/в</t>
  </si>
  <si>
    <t>г/к пол</t>
  </si>
  <si>
    <t>г/к по акту</t>
  </si>
  <si>
    <t>проверил:</t>
  </si>
  <si>
    <t xml:space="preserve">Расчет  г/кал и  стоимости  1 куб.м. горячей воды  ИПУ за ноябрь </t>
  </si>
  <si>
    <t>составил:                     Т.А.Еремеева</t>
  </si>
  <si>
    <t>Баскакова 14</t>
  </si>
  <si>
    <t>итого г/к</t>
  </si>
  <si>
    <t>тонны г/в</t>
  </si>
  <si>
    <t xml:space="preserve">                                       </t>
  </si>
  <si>
    <t xml:space="preserve"> </t>
  </si>
  <si>
    <t xml:space="preserve">      Утверждаю:                                       Хильченко И.И.</t>
  </si>
  <si>
    <t>Учебня 7</t>
  </si>
  <si>
    <t>Учебная 7</t>
  </si>
  <si>
    <t>цена 1 куб.м</t>
  </si>
  <si>
    <t>всегг/кал</t>
  </si>
  <si>
    <t xml:space="preserve">цена г/кал  сумма </t>
  </si>
  <si>
    <t>без сч</t>
  </si>
  <si>
    <t>норматив</t>
  </si>
  <si>
    <t>S дома</t>
  </si>
  <si>
    <t>сумаб/сч</t>
  </si>
  <si>
    <t>кво жит</t>
  </si>
  <si>
    <t>сумма по</t>
  </si>
  <si>
    <t>дому</t>
  </si>
  <si>
    <r>
      <t>р</t>
    </r>
    <r>
      <rPr>
        <sz val="10"/>
        <rFont val="Arial Cyr"/>
        <family val="0"/>
      </rPr>
      <t>азница</t>
    </r>
  </si>
  <si>
    <t>ОДН</t>
  </si>
  <si>
    <t>объем</t>
  </si>
  <si>
    <t>сч. гвс</t>
  </si>
  <si>
    <t>цена м3</t>
  </si>
  <si>
    <r>
      <t>итого</t>
    </r>
    <r>
      <rPr>
        <b/>
        <sz val="10"/>
        <rFont val="Arial Cyr"/>
        <family val="0"/>
      </rPr>
      <t xml:space="preserve"> </t>
    </r>
  </si>
  <si>
    <t>к-во</t>
  </si>
  <si>
    <t>сум. сч.</t>
  </si>
  <si>
    <t>Васильковского  д.1оф</t>
  </si>
  <si>
    <t>ж б/сч</t>
  </si>
  <si>
    <t>норм</t>
  </si>
  <si>
    <t>сум норм</t>
  </si>
  <si>
    <t>общ сум</t>
  </si>
  <si>
    <t>площ</t>
  </si>
  <si>
    <t>на 1 кв.м</t>
  </si>
  <si>
    <r>
      <t>ОДН</t>
    </r>
    <r>
      <rPr>
        <sz val="10"/>
        <rFont val="Arial Cyr"/>
        <family val="0"/>
      </rPr>
      <t xml:space="preserve"> (сум)</t>
    </r>
  </si>
  <si>
    <t xml:space="preserve"> перевод  тонны  в г/кал  за октябрь  2012 г</t>
  </si>
  <si>
    <t>всего</t>
  </si>
  <si>
    <t>тон ГВС</t>
  </si>
  <si>
    <t>цена г/к</t>
  </si>
  <si>
    <t>т ХВ</t>
  </si>
  <si>
    <t>цена ХВ</t>
  </si>
  <si>
    <t>цена Г/кал</t>
  </si>
  <si>
    <t>г/кал ХВ</t>
  </si>
  <si>
    <t xml:space="preserve">сумма </t>
  </si>
  <si>
    <t>всего тонн</t>
  </si>
  <si>
    <t>цена 1 куб</t>
  </si>
  <si>
    <t xml:space="preserve"> г/кГВ</t>
  </si>
  <si>
    <t>г/к по акту           Всего г/к</t>
  </si>
  <si>
    <t>итого</t>
  </si>
  <si>
    <t>ХВС</t>
  </si>
  <si>
    <t xml:space="preserve"> ГВС</t>
  </si>
  <si>
    <t>пл. дома</t>
  </si>
  <si>
    <t>ОДН канал</t>
  </si>
  <si>
    <t>по дому м3</t>
  </si>
  <si>
    <t xml:space="preserve">                                                                   Утверждаю:                                      ген. директор Хильченко И.И.</t>
  </si>
  <si>
    <t>Васильковского 1-о</t>
  </si>
  <si>
    <t>Александровка 2</t>
  </si>
  <si>
    <t xml:space="preserve"> ноябрь  2013г.</t>
  </si>
  <si>
    <t>всего
г/к по сч
и х.г. воде</t>
  </si>
  <si>
    <t>ср. мес
 t</t>
  </si>
  <si>
    <t xml:space="preserve">по акту
</t>
  </si>
  <si>
    <t xml:space="preserve">м3  
г/в
</t>
  </si>
  <si>
    <t xml:space="preserve">м3. 
х/в
</t>
  </si>
  <si>
    <t xml:space="preserve">итого 
м3
</t>
  </si>
  <si>
    <t xml:space="preserve">т*t=г/кал
</t>
  </si>
  <si>
    <t xml:space="preserve">г/к(м3)
</t>
  </si>
  <si>
    <t xml:space="preserve">г/к(х.в.)
</t>
  </si>
  <si>
    <t xml:space="preserve">Итого г/к 
гор.воды
</t>
  </si>
  <si>
    <t xml:space="preserve">цена
</t>
  </si>
  <si>
    <t xml:space="preserve">сумма г/в
</t>
  </si>
  <si>
    <t xml:space="preserve">т.г/в
</t>
  </si>
  <si>
    <t xml:space="preserve">цена
1 куб
</t>
  </si>
  <si>
    <t xml:space="preserve">тепло 
г/к
</t>
  </si>
  <si>
    <t xml:space="preserve">площадь
м2
</t>
  </si>
  <si>
    <t xml:space="preserve">сумма
</t>
  </si>
  <si>
    <t xml:space="preserve">Адрес
</t>
  </si>
  <si>
    <t xml:space="preserve">(тепло)
ст-ть 
1 м2
</t>
  </si>
  <si>
    <t xml:space="preserve">Расчет  г/кал и  стоимости  1 куб.м. горячей воды  ИПУ за </t>
  </si>
  <si>
    <t>Хильченко И.И.</t>
  </si>
  <si>
    <t>Утверждаю:</t>
  </si>
  <si>
    <t>март</t>
  </si>
  <si>
    <t>апрель</t>
  </si>
  <si>
    <t xml:space="preserve">пло-
щадь
(м2)
</t>
  </si>
  <si>
    <t xml:space="preserve">сумма горячей
воды
</t>
  </si>
  <si>
    <t xml:space="preserve">цена
1 м3
горяч.воды.
</t>
  </si>
  <si>
    <t xml:space="preserve">ГВС
 м3
</t>
  </si>
  <si>
    <t xml:space="preserve">ХВС
м3 
</t>
  </si>
  <si>
    <t xml:space="preserve">м3*t=
Гкал
</t>
  </si>
  <si>
    <t>ГВС + ХВС
м3</t>
  </si>
  <si>
    <r>
      <t>Гкал</t>
    </r>
    <r>
      <rPr>
        <sz val="9"/>
        <rFont val="Arial Cyr"/>
        <family val="0"/>
      </rPr>
      <t xml:space="preserve"> горяч.
воды (из м3)
</t>
    </r>
  </si>
  <si>
    <r>
      <t>Гкал</t>
    </r>
    <r>
      <rPr>
        <sz val="9"/>
        <rFont val="Arial Cyr"/>
        <family val="0"/>
      </rPr>
      <t xml:space="preserve"> хол.
воды (из м3)
</t>
    </r>
  </si>
  <si>
    <r>
      <t xml:space="preserve">Итого </t>
    </r>
    <r>
      <rPr>
        <b/>
        <u val="single"/>
        <sz val="9"/>
        <color indexed="10"/>
        <rFont val="Arial Cyr"/>
        <family val="0"/>
      </rPr>
      <t>Гкал</t>
    </r>
    <r>
      <rPr>
        <b/>
        <sz val="9"/>
        <color indexed="10"/>
        <rFont val="Arial Cyr"/>
        <family val="0"/>
      </rPr>
      <t xml:space="preserve"> 
гор.
воды
</t>
    </r>
  </si>
  <si>
    <r>
      <t xml:space="preserve">итого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
по акту гор.
воды
</t>
    </r>
  </si>
  <si>
    <r>
      <t xml:space="preserve">всего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 по
акту;
хол.;
гор. воде</t>
    </r>
  </si>
  <si>
    <r>
      <t xml:space="preserve">тепло 
</t>
    </r>
    <r>
      <rPr>
        <b/>
        <u val="single"/>
        <sz val="10"/>
        <color indexed="10"/>
        <rFont val="Arial Cyr"/>
        <family val="0"/>
      </rPr>
      <t>Гкал</t>
    </r>
    <r>
      <rPr>
        <b/>
        <sz val="10"/>
        <color indexed="10"/>
        <rFont val="Arial Cyr"/>
        <family val="0"/>
      </rPr>
      <t xml:space="preserve">
</t>
    </r>
  </si>
  <si>
    <t xml:space="preserve">Расчет  Гкал и  стоимости  1 м3 горячей воды  по ИПУ за </t>
  </si>
  <si>
    <t xml:space="preserve">составил:                     </t>
  </si>
  <si>
    <t>Круглова О.А.</t>
  </si>
  <si>
    <t>май</t>
  </si>
  <si>
    <r>
      <t>Гкал</t>
    </r>
    <r>
      <rPr>
        <sz val="9"/>
        <rFont val="Arial Cyr"/>
        <family val="0"/>
      </rPr>
      <t xml:space="preserve"> горяч.
воды (из м3)
</t>
    </r>
    <r>
      <rPr>
        <sz val="6"/>
        <rFont val="Arial Cyr"/>
        <family val="0"/>
      </rPr>
      <t>(подпиток)</t>
    </r>
    <r>
      <rPr>
        <sz val="9"/>
        <rFont val="Arial Cyr"/>
        <family val="0"/>
      </rPr>
      <t xml:space="preserve">
</t>
    </r>
  </si>
  <si>
    <t>июнь</t>
  </si>
  <si>
    <r>
      <t xml:space="preserve">всего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 по
*акту;
*хол.;
*гор. воде</t>
    </r>
  </si>
  <si>
    <t>июль</t>
  </si>
  <si>
    <t>август</t>
  </si>
  <si>
    <t>Гкал по счетчику на ГВС</t>
  </si>
  <si>
    <t>Гкал на отоп-ление</t>
  </si>
  <si>
    <t>Карачарово 1А</t>
  </si>
  <si>
    <t>Карачарово 1Б</t>
  </si>
  <si>
    <t>тонны</t>
  </si>
  <si>
    <t>ст-ть подпитка 12,89</t>
  </si>
  <si>
    <r>
      <t>Карачарово 3</t>
    </r>
    <r>
      <rPr>
        <sz val="7"/>
        <rFont val="Arial Cyr"/>
        <family val="0"/>
      </rPr>
      <t>(33,33%)</t>
    </r>
  </si>
  <si>
    <t>ПУ "Взлет"</t>
  </si>
  <si>
    <t>ПУ "Магика"</t>
  </si>
  <si>
    <t xml:space="preserve">ГВС
т
</t>
  </si>
  <si>
    <t xml:space="preserve">цена
1 м3
горяч.
воды
</t>
  </si>
  <si>
    <t>сентябрь</t>
  </si>
  <si>
    <t xml:space="preserve">цена
1 м3
горячей воды.
</t>
  </si>
  <si>
    <t>октябрь</t>
  </si>
  <si>
    <r>
      <t>Карачарово 3</t>
    </r>
    <r>
      <rPr>
        <sz val="7"/>
        <rFont val="Arial Cyr"/>
        <family val="0"/>
      </rPr>
      <t>(33,13%)</t>
    </r>
  </si>
  <si>
    <t>ГВС</t>
  </si>
  <si>
    <t>ОТОПЛЕНИЕ</t>
  </si>
  <si>
    <t>КАРАЧАРОВО</t>
  </si>
  <si>
    <t xml:space="preserve">Расчет  Гкал и  стоимости  тепла за 1 м2    за </t>
  </si>
  <si>
    <t xml:space="preserve">площадь
(м2)
</t>
  </si>
  <si>
    <t xml:space="preserve">Тариф Гкал /пр.РЭК/
</t>
  </si>
  <si>
    <r>
      <t>Тариф Гкал /</t>
    </r>
    <r>
      <rPr>
        <sz val="7"/>
        <rFont val="Arial Cyr"/>
        <family val="0"/>
      </rPr>
      <t>пр.РЭК/</t>
    </r>
    <r>
      <rPr>
        <sz val="9"/>
        <rFont val="Arial Cyr"/>
        <family val="0"/>
      </rPr>
      <t xml:space="preserve">
</t>
    </r>
  </si>
  <si>
    <r>
      <t xml:space="preserve">Итого 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 
по акту гор.
воды
</t>
    </r>
  </si>
  <si>
    <r>
      <t xml:space="preserve">всего
</t>
    </r>
    <r>
      <rPr>
        <b/>
        <u val="single"/>
        <sz val="9"/>
        <rFont val="Arial Cyr"/>
        <family val="0"/>
      </rPr>
      <t>Гкал</t>
    </r>
    <r>
      <rPr>
        <b/>
        <sz val="9"/>
        <rFont val="Arial Cyr"/>
        <family val="0"/>
      </rPr>
      <t xml:space="preserve"> по
*акту;
*хол.;
*гор. воде</t>
    </r>
  </si>
  <si>
    <r>
      <t xml:space="preserve">Тариф подпи-ток </t>
    </r>
    <r>
      <rPr>
        <sz val="8"/>
        <rFont val="Arial Cyr"/>
        <family val="0"/>
      </rPr>
      <t>/пр.РЭК/</t>
    </r>
    <r>
      <rPr>
        <sz val="9"/>
        <rFont val="Arial Cyr"/>
        <family val="0"/>
      </rPr>
      <t xml:space="preserve">
</t>
    </r>
  </si>
  <si>
    <r>
      <t xml:space="preserve">Итого </t>
    </r>
    <r>
      <rPr>
        <b/>
        <u val="single"/>
        <sz val="9"/>
        <color indexed="10"/>
        <rFont val="Arial Cyr"/>
        <family val="0"/>
      </rPr>
      <t>Гкал</t>
    </r>
    <r>
      <rPr>
        <b/>
        <sz val="9"/>
        <color indexed="10"/>
        <rFont val="Arial Cyr"/>
        <family val="0"/>
      </rPr>
      <t xml:space="preserve"> 
подпит-ка
</t>
    </r>
  </si>
  <si>
    <t xml:space="preserve">ГВС
тн
</t>
  </si>
  <si>
    <t xml:space="preserve">итого 
тн
</t>
  </si>
  <si>
    <t xml:space="preserve">тн*t=
Гкал
</t>
  </si>
  <si>
    <t xml:space="preserve">подпиток
тн
</t>
  </si>
  <si>
    <r>
      <t>Гкал</t>
    </r>
    <r>
      <rPr>
        <sz val="9"/>
        <rFont val="Arial Cyr"/>
        <family val="0"/>
      </rPr>
      <t xml:space="preserve">  (из тн)
</t>
    </r>
    <r>
      <rPr>
        <sz val="6"/>
        <rFont val="Arial Cyr"/>
        <family val="0"/>
      </rPr>
      <t>(подпиток)</t>
    </r>
    <r>
      <rPr>
        <sz val="9"/>
        <rFont val="Arial Cyr"/>
        <family val="0"/>
      </rPr>
      <t xml:space="preserve">
</t>
    </r>
  </si>
  <si>
    <t xml:space="preserve">цена
1 м3
горячей воды
</t>
  </si>
  <si>
    <t xml:space="preserve">ГВС
 тн
</t>
  </si>
  <si>
    <t xml:space="preserve">ХВС
тн 
</t>
  </si>
  <si>
    <r>
      <t>Гкал</t>
    </r>
    <r>
      <rPr>
        <sz val="9"/>
        <rFont val="Arial Cyr"/>
        <family val="0"/>
      </rPr>
      <t xml:space="preserve"> горяч.
воды (из тн)
</t>
    </r>
    <r>
      <rPr>
        <sz val="6"/>
        <rFont val="Arial Cyr"/>
        <family val="0"/>
      </rPr>
      <t>(подпиток)</t>
    </r>
    <r>
      <rPr>
        <sz val="9"/>
        <rFont val="Arial Cyr"/>
        <family val="0"/>
      </rPr>
      <t xml:space="preserve">
</t>
    </r>
  </si>
  <si>
    <r>
      <t>Гкал</t>
    </r>
    <r>
      <rPr>
        <sz val="9"/>
        <rFont val="Arial Cyr"/>
        <family val="0"/>
      </rPr>
      <t xml:space="preserve"> хол.
воды (из тн)
</t>
    </r>
  </si>
  <si>
    <t>ГВС + ХВС
тн</t>
  </si>
  <si>
    <t xml:space="preserve">Расчет  Гкал и  стоимости  1 м3 горячей воды  по ПУ за </t>
  </si>
  <si>
    <t>ноябрь</t>
  </si>
  <si>
    <r>
      <t>Карачарово 3</t>
    </r>
    <r>
      <rPr>
        <sz val="7"/>
        <rFont val="Arial Cyr"/>
        <family val="0"/>
      </rPr>
      <t>(37,4%)</t>
    </r>
  </si>
  <si>
    <r>
      <t xml:space="preserve">Итого </t>
    </r>
    <r>
      <rPr>
        <b/>
        <u val="single"/>
        <sz val="9"/>
        <rFont val="Arial Cyr"/>
        <family val="0"/>
      </rPr>
      <t>Гкал</t>
    </r>
    <r>
      <rPr>
        <b/>
        <sz val="9"/>
        <rFont val="Arial Cyr"/>
        <family val="0"/>
      </rPr>
      <t xml:space="preserve"> 
подпит-ка
</t>
    </r>
  </si>
  <si>
    <r>
      <t xml:space="preserve">ВСЕГО
тепло 
</t>
    </r>
    <r>
      <rPr>
        <b/>
        <u val="single"/>
        <sz val="10"/>
        <color indexed="10"/>
        <rFont val="Arial Cyr"/>
        <family val="0"/>
      </rPr>
      <t>Гкал</t>
    </r>
    <r>
      <rPr>
        <b/>
        <sz val="10"/>
        <color indexed="10"/>
        <rFont val="Arial Cyr"/>
        <family val="0"/>
      </rPr>
      <t xml:space="preserve">
</t>
    </r>
  </si>
  <si>
    <r>
      <t xml:space="preserve">всего
</t>
    </r>
    <r>
      <rPr>
        <b/>
        <u val="single"/>
        <sz val="9"/>
        <color indexed="10"/>
        <rFont val="Arial Cyr"/>
        <family val="0"/>
      </rPr>
      <t>Гкал</t>
    </r>
    <r>
      <rPr>
        <b/>
        <sz val="9"/>
        <color indexed="10"/>
        <rFont val="Arial Cyr"/>
        <family val="0"/>
      </rPr>
      <t xml:space="preserve"> по
*акту;
*гор. воде</t>
    </r>
  </si>
  <si>
    <r>
      <t xml:space="preserve">тепло /п.суш/ 
</t>
    </r>
    <r>
      <rPr>
        <b/>
        <u val="single"/>
        <sz val="10"/>
        <color indexed="10"/>
        <rFont val="Arial Cyr"/>
        <family val="0"/>
      </rPr>
      <t>Гкал</t>
    </r>
    <r>
      <rPr>
        <b/>
        <sz val="10"/>
        <color indexed="10"/>
        <rFont val="Arial Cyr"/>
        <family val="0"/>
      </rPr>
      <t xml:space="preserve">
</t>
    </r>
  </si>
  <si>
    <t>тепло - с полотенцесушителем</t>
  </si>
  <si>
    <t>по ПУ</t>
  </si>
  <si>
    <t>по ПУ-ГВс и п.суш</t>
  </si>
  <si>
    <t>Карачарово 3</t>
  </si>
  <si>
    <t xml:space="preserve">цена
1 м3
горяч.
воды.
</t>
  </si>
  <si>
    <t>декабрь</t>
  </si>
  <si>
    <t>Баскакова 14 (3 п)</t>
  </si>
  <si>
    <t>Баскакова 14 (4-5 п)</t>
  </si>
  <si>
    <t>Баскакова 14 (1-2 п)</t>
  </si>
  <si>
    <t>январь</t>
  </si>
  <si>
    <t>февраль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</si>
</sst>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b/>
      <u val="single"/>
      <sz val="10"/>
      <name val="Arial Cyr"/>
      <family val="0"/>
    </font>
    <font>
      <b/>
      <sz val="10"/>
      <color indexed="10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u val="single"/>
      <sz val="9"/>
      <name val="Arial Cyr"/>
      <family val="0"/>
    </font>
    <font>
      <b/>
      <u val="single"/>
      <sz val="9"/>
      <color indexed="10"/>
      <name val="Arial Cyr"/>
      <family val="0"/>
    </font>
    <font>
      <b/>
      <u val="single"/>
      <sz val="10"/>
      <color indexed="10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b/>
      <i/>
      <sz val="9"/>
      <color indexed="10"/>
      <name val="Arial Cyr"/>
      <family val="0"/>
    </font>
    <font>
      <sz val="9"/>
      <color indexed="9"/>
      <name val="Arial Cyr"/>
      <family val="0"/>
    </font>
    <font>
      <i/>
      <sz val="9"/>
      <color indexed="9"/>
      <name val="Arial Cyr"/>
      <family val="0"/>
    </font>
    <font>
      <i/>
      <sz val="7"/>
      <name val="Arial Cyr"/>
      <family val="0"/>
    </font>
    <font>
      <b/>
      <i/>
      <sz val="7"/>
      <color indexed="10"/>
      <name val="Arial Cyr"/>
      <family val="0"/>
    </font>
    <font>
      <b/>
      <sz val="9"/>
      <color indexed="9"/>
      <name val="Arial Cyr"/>
      <family val="0"/>
    </font>
    <font>
      <sz val="9"/>
      <color indexed="10"/>
      <name val="Arial Cyr"/>
      <family val="0"/>
    </font>
    <font>
      <b/>
      <sz val="9"/>
      <color indexed="23"/>
      <name val="Arial Cyr"/>
      <family val="0"/>
    </font>
    <font>
      <i/>
      <sz val="8"/>
      <color indexed="23"/>
      <name val="Arial Cyr"/>
      <family val="0"/>
    </font>
    <font>
      <sz val="9"/>
      <color indexed="23"/>
      <name val="Arial Cyr"/>
      <family val="0"/>
    </font>
    <font>
      <i/>
      <sz val="9"/>
      <color indexed="23"/>
      <name val="Arial Cyr"/>
      <family val="0"/>
    </font>
    <font>
      <sz val="9"/>
      <color indexed="55"/>
      <name val="Arial Cyr"/>
      <family val="0"/>
    </font>
    <font>
      <i/>
      <sz val="9"/>
      <color indexed="10"/>
      <name val="Arial Cyr"/>
      <family val="0"/>
    </font>
    <font>
      <b/>
      <i/>
      <sz val="10"/>
      <name val="Arial Cyr"/>
      <family val="0"/>
    </font>
    <font>
      <b/>
      <i/>
      <sz val="8"/>
      <color indexed="10"/>
      <name val="Arial Cyr"/>
      <family val="0"/>
    </font>
    <font>
      <i/>
      <sz val="8"/>
      <color indexed="9"/>
      <name val="Arial Cyr"/>
      <family val="0"/>
    </font>
    <font>
      <sz val="10"/>
      <color indexed="10"/>
      <name val="Arial Cyr"/>
      <family val="0"/>
    </font>
    <font>
      <b/>
      <u val="single"/>
      <sz val="9"/>
      <name val="Arial Cyr"/>
      <family val="0"/>
    </font>
    <font>
      <b/>
      <i/>
      <sz val="8"/>
      <name val="Arial Cyr"/>
      <family val="0"/>
    </font>
    <font>
      <b/>
      <sz val="10"/>
      <color indexed="9"/>
      <name val="Arial Cyr"/>
      <family val="0"/>
    </font>
    <font>
      <b/>
      <i/>
      <sz val="10"/>
      <color indexed="9"/>
      <name val="Arial Cyr"/>
      <family val="0"/>
    </font>
    <font>
      <b/>
      <i/>
      <sz val="9"/>
      <name val="Arial Cyr"/>
      <family val="0"/>
    </font>
    <font>
      <sz val="8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7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6" fillId="0" borderId="10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6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0" fontId="3" fillId="4" borderId="10" xfId="0" applyFont="1" applyFill="1" applyBorder="1" applyAlignment="1">
      <alignment/>
    </xf>
    <xf numFmtId="2" fontId="3" fillId="4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25" fillId="0" borderId="0" xfId="0" applyFont="1" applyAlignment="1">
      <alignment/>
    </xf>
    <xf numFmtId="17" fontId="2" fillId="0" borderId="0" xfId="0" applyNumberFormat="1" applyFont="1" applyAlignment="1">
      <alignment/>
    </xf>
    <xf numFmtId="2" fontId="26" fillId="0" borderId="10" xfId="0" applyNumberFormat="1" applyFont="1" applyBorder="1" applyAlignment="1">
      <alignment/>
    </xf>
    <xf numFmtId="164" fontId="26" fillId="0" borderId="10" xfId="0" applyNumberFormat="1" applyFont="1" applyBorder="1" applyAlignment="1">
      <alignment/>
    </xf>
    <xf numFmtId="166" fontId="3" fillId="4" borderId="10" xfId="0" applyNumberFormat="1" applyFont="1" applyFill="1" applyBorder="1" applyAlignment="1">
      <alignment/>
    </xf>
    <xf numFmtId="0" fontId="27" fillId="0" borderId="13" xfId="0" applyFont="1" applyBorder="1" applyAlignment="1">
      <alignment horizontal="center"/>
    </xf>
    <xf numFmtId="0" fontId="27" fillId="4" borderId="13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4" borderId="10" xfId="0" applyFont="1" applyFill="1" applyBorder="1" applyAlignment="1">
      <alignment/>
    </xf>
    <xf numFmtId="2" fontId="28" fillId="0" borderId="10" xfId="0" applyNumberFormat="1" applyFont="1" applyBorder="1" applyAlignment="1">
      <alignment/>
    </xf>
    <xf numFmtId="2" fontId="29" fillId="0" borderId="10" xfId="0" applyNumberFormat="1" applyFont="1" applyBorder="1" applyAlignment="1">
      <alignment/>
    </xf>
    <xf numFmtId="2" fontId="28" fillId="4" borderId="10" xfId="0" applyNumberFormat="1" applyFont="1" applyFill="1" applyBorder="1" applyAlignment="1">
      <alignment/>
    </xf>
    <xf numFmtId="0" fontId="30" fillId="0" borderId="10" xfId="0" applyFont="1" applyBorder="1" applyAlignment="1">
      <alignment/>
    </xf>
    <xf numFmtId="2" fontId="30" fillId="0" borderId="10" xfId="0" applyNumberFormat="1" applyFont="1" applyBorder="1" applyAlignment="1">
      <alignment/>
    </xf>
    <xf numFmtId="2" fontId="3" fillId="24" borderId="10" xfId="0" applyNumberFormat="1" applyFont="1" applyFill="1" applyBorder="1" applyAlignment="1">
      <alignment/>
    </xf>
    <xf numFmtId="2" fontId="28" fillId="24" borderId="10" xfId="0" applyNumberFormat="1" applyFont="1" applyFill="1" applyBorder="1" applyAlignment="1">
      <alignment/>
    </xf>
    <xf numFmtId="0" fontId="27" fillId="24" borderId="10" xfId="0" applyFont="1" applyFill="1" applyBorder="1" applyAlignment="1">
      <alignment/>
    </xf>
    <xf numFmtId="1" fontId="30" fillId="24" borderId="10" xfId="0" applyNumberFormat="1" applyFont="1" applyFill="1" applyBorder="1" applyAlignment="1">
      <alignment/>
    </xf>
    <xf numFmtId="0" fontId="34" fillId="24" borderId="10" xfId="0" applyFont="1" applyFill="1" applyBorder="1" applyAlignment="1">
      <alignment/>
    </xf>
    <xf numFmtId="165" fontId="3" fillId="4" borderId="10" xfId="0" applyNumberFormat="1" applyFont="1" applyFill="1" applyBorder="1" applyAlignment="1">
      <alignment/>
    </xf>
    <xf numFmtId="165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165" fontId="28" fillId="4" borderId="10" xfId="0" applyNumberFormat="1" applyFont="1" applyFill="1" applyBorder="1" applyAlignment="1">
      <alignment/>
    </xf>
    <xf numFmtId="2" fontId="36" fillId="0" borderId="1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38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0" fontId="3" fillId="7" borderId="10" xfId="0" applyFont="1" applyFill="1" applyBorder="1" applyAlignment="1">
      <alignment/>
    </xf>
    <xf numFmtId="166" fontId="3" fillId="7" borderId="10" xfId="0" applyNumberFormat="1" applyFont="1" applyFill="1" applyBorder="1" applyAlignment="1">
      <alignment/>
    </xf>
    <xf numFmtId="165" fontId="42" fillId="4" borderId="10" xfId="0" applyNumberFormat="1" applyFont="1" applyFill="1" applyBorder="1" applyAlignment="1">
      <alignment/>
    </xf>
    <xf numFmtId="0" fontId="27" fillId="22" borderId="13" xfId="0" applyFont="1" applyFill="1" applyBorder="1" applyAlignment="1">
      <alignment horizontal="center"/>
    </xf>
    <xf numFmtId="2" fontId="2" fillId="22" borderId="10" xfId="0" applyNumberFormat="1" applyFont="1" applyFill="1" applyBorder="1" applyAlignment="1">
      <alignment/>
    </xf>
    <xf numFmtId="0" fontId="3" fillId="20" borderId="10" xfId="0" applyFont="1" applyFill="1" applyBorder="1" applyAlignment="1">
      <alignment/>
    </xf>
    <xf numFmtId="0" fontId="44" fillId="4" borderId="13" xfId="0" applyFont="1" applyFill="1" applyBorder="1" applyAlignment="1">
      <alignment horizontal="center"/>
    </xf>
    <xf numFmtId="2" fontId="45" fillId="0" borderId="10" xfId="0" applyNumberFormat="1" applyFont="1" applyBorder="1" applyAlignment="1">
      <alignment/>
    </xf>
    <xf numFmtId="165" fontId="26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34" fillId="0" borderId="11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26" fillId="0" borderId="10" xfId="0" applyNumberFormat="1" applyFont="1" applyFill="1" applyBorder="1" applyAlignment="1">
      <alignment/>
    </xf>
    <xf numFmtId="2" fontId="45" fillId="0" borderId="10" xfId="0" applyNumberFormat="1" applyFont="1" applyFill="1" applyBorder="1" applyAlignment="1">
      <alignment/>
    </xf>
    <xf numFmtId="165" fontId="26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165" fontId="48" fillId="0" borderId="10" xfId="0" applyNumberFormat="1" applyFont="1" applyFill="1" applyBorder="1" applyAlignment="1">
      <alignment horizontal="center"/>
    </xf>
    <xf numFmtId="166" fontId="48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165" fontId="28" fillId="0" borderId="10" xfId="0" applyNumberFormat="1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/>
    </xf>
    <xf numFmtId="165" fontId="29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2" fontId="49" fillId="0" borderId="10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7" fillId="22" borderId="10" xfId="0" applyFont="1" applyFill="1" applyBorder="1" applyAlignment="1">
      <alignment horizontal="center"/>
    </xf>
    <xf numFmtId="165" fontId="27" fillId="4" borderId="10" xfId="0" applyNumberFormat="1" applyFont="1" applyFill="1" applyBorder="1" applyAlignment="1">
      <alignment/>
    </xf>
    <xf numFmtId="165" fontId="39" fillId="4" borderId="10" xfId="0" applyNumberFormat="1" applyFont="1" applyFill="1" applyBorder="1" applyAlignment="1">
      <alignment/>
    </xf>
    <xf numFmtId="2" fontId="39" fillId="4" borderId="10" xfId="0" applyNumberFormat="1" applyFont="1" applyFill="1" applyBorder="1" applyAlignment="1">
      <alignment/>
    </xf>
    <xf numFmtId="2" fontId="27" fillId="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27" fillId="0" borderId="13" xfId="0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/>
    </xf>
    <xf numFmtId="166" fontId="28" fillId="4" borderId="10" xfId="0" applyNumberFormat="1" applyFont="1" applyFill="1" applyBorder="1" applyAlignment="1">
      <alignment/>
    </xf>
    <xf numFmtId="165" fontId="39" fillId="0" borderId="10" xfId="0" applyNumberFormat="1" applyFont="1" applyBorder="1" applyAlignment="1">
      <alignment/>
    </xf>
    <xf numFmtId="2" fontId="2" fillId="22" borderId="15" xfId="0" applyNumberFormat="1" applyFont="1" applyFill="1" applyBorder="1" applyAlignment="1">
      <alignment/>
    </xf>
    <xf numFmtId="0" fontId="27" fillId="4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164" fontId="34" fillId="0" borderId="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5" fontId="1" fillId="0" borderId="0" xfId="0" applyNumberFormat="1" applyFont="1" applyAlignment="1">
      <alignment horizontal="left"/>
    </xf>
    <xf numFmtId="166" fontId="27" fillId="0" borderId="0" xfId="0" applyNumberFormat="1" applyFont="1" applyFill="1" applyBorder="1" applyAlignment="1">
      <alignment/>
    </xf>
    <xf numFmtId="2" fontId="27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27" fillId="0" borderId="0" xfId="0" applyNumberFormat="1" applyFont="1" applyFill="1" applyBorder="1" applyAlignment="1">
      <alignment/>
    </xf>
    <xf numFmtId="2" fontId="51" fillId="0" borderId="0" xfId="0" applyNumberFormat="1" applyFon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165" fontId="42" fillId="0" borderId="10" xfId="0" applyNumberFormat="1" applyFont="1" applyBorder="1" applyAlignment="1">
      <alignment/>
    </xf>
    <xf numFmtId="2" fontId="5" fillId="4" borderId="1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52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65" fontId="1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165" fontId="1" fillId="0" borderId="19" xfId="0" applyNumberFormat="1" applyFont="1" applyFill="1" applyBorder="1" applyAlignment="1">
      <alignment/>
    </xf>
    <xf numFmtId="165" fontId="34" fillId="0" borderId="19" xfId="0" applyNumberFormat="1" applyFont="1" applyFill="1" applyBorder="1" applyAlignment="1">
      <alignment/>
    </xf>
    <xf numFmtId="165" fontId="35" fillId="0" borderId="19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54" fillId="4" borderId="13" xfId="0" applyFont="1" applyFill="1" applyBorder="1" applyAlignment="1">
      <alignment horizontal="center"/>
    </xf>
    <xf numFmtId="165" fontId="5" fillId="24" borderId="10" xfId="0" applyNumberFormat="1" applyFont="1" applyFill="1" applyBorder="1" applyAlignment="1">
      <alignment/>
    </xf>
    <xf numFmtId="2" fontId="5" fillId="22" borderId="1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2" fontId="24" fillId="0" borderId="10" xfId="0" applyNumberFormat="1" applyFont="1" applyFill="1" applyBorder="1" applyAlignment="1">
      <alignment/>
    </xf>
    <xf numFmtId="0" fontId="38" fillId="0" borderId="13" xfId="0" applyFont="1" applyFill="1" applyBorder="1" applyAlignment="1">
      <alignment horizontal="center"/>
    </xf>
    <xf numFmtId="2" fontId="56" fillId="0" borderId="10" xfId="0" applyNumberFormat="1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2" fontId="55" fillId="0" borderId="10" xfId="0" applyNumberFormat="1" applyFont="1" applyFill="1" applyBorder="1" applyAlignment="1">
      <alignment/>
    </xf>
    <xf numFmtId="2" fontId="55" fillId="0" borderId="15" xfId="0" applyNumberFormat="1" applyFont="1" applyFill="1" applyBorder="1" applyAlignment="1">
      <alignment/>
    </xf>
    <xf numFmtId="0" fontId="57" fillId="0" borderId="13" xfId="0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/>
    </xf>
    <xf numFmtId="165" fontId="34" fillId="0" borderId="10" xfId="0" applyNumberFormat="1" applyFont="1" applyBorder="1" applyAlignment="1">
      <alignment/>
    </xf>
    <xf numFmtId="165" fontId="58" fillId="0" borderId="10" xfId="0" applyNumberFormat="1" applyFont="1" applyFill="1" applyBorder="1" applyAlignment="1">
      <alignment/>
    </xf>
    <xf numFmtId="0" fontId="34" fillId="0" borderId="0" xfId="0" applyFont="1" applyAlignment="1">
      <alignment/>
    </xf>
    <xf numFmtId="2" fontId="34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17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27" fillId="0" borderId="0" xfId="0" applyFont="1" applyFill="1" applyAlignment="1">
      <alignment/>
    </xf>
    <xf numFmtId="164" fontId="26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2" fontId="37" fillId="0" borderId="10" xfId="0" applyNumberFormat="1" applyFont="1" applyFill="1" applyBorder="1" applyAlignment="1">
      <alignment/>
    </xf>
    <xf numFmtId="166" fontId="37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65" fontId="37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2" fontId="61" fillId="0" borderId="10" xfId="0" applyNumberFormat="1" applyFont="1" applyFill="1" applyBorder="1" applyAlignment="1">
      <alignment/>
    </xf>
    <xf numFmtId="165" fontId="39" fillId="0" borderId="10" xfId="0" applyNumberFormat="1" applyFont="1" applyFill="1" applyBorder="1" applyAlignment="1">
      <alignment/>
    </xf>
    <xf numFmtId="0" fontId="50" fillId="0" borderId="13" xfId="0" applyFont="1" applyFill="1" applyBorder="1" applyAlignment="1">
      <alignment horizontal="center"/>
    </xf>
    <xf numFmtId="0" fontId="0" fillId="24" borderId="16" xfId="0" applyFill="1" applyBorder="1" applyAlignment="1">
      <alignment/>
    </xf>
    <xf numFmtId="0" fontId="27" fillId="4" borderId="20" xfId="0" applyFont="1" applyFill="1" applyBorder="1" applyAlignment="1">
      <alignment horizontal="center"/>
    </xf>
    <xf numFmtId="0" fontId="27" fillId="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4" borderId="17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/>
    </xf>
    <xf numFmtId="0" fontId="24" fillId="0" borderId="17" xfId="0" applyFont="1" applyBorder="1" applyAlignment="1">
      <alignment horizontal="center" wrapText="1"/>
    </xf>
    <xf numFmtId="0" fontId="24" fillId="0" borderId="13" xfId="0" applyFont="1" applyBorder="1" applyAlignment="1">
      <alignment horizontal="center"/>
    </xf>
    <xf numFmtId="0" fontId="26" fillId="0" borderId="17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/>
    </xf>
    <xf numFmtId="2" fontId="0" fillId="0" borderId="17" xfId="0" applyNumberFormat="1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1" fillId="24" borderId="1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1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165" fontId="3" fillId="4" borderId="19" xfId="0" applyNumberFormat="1" applyFont="1" applyFill="1" applyBorder="1" applyAlignment="1">
      <alignment horizontal="center"/>
    </xf>
    <xf numFmtId="165" fontId="3" fillId="4" borderId="16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/>
    </xf>
    <xf numFmtId="0" fontId="27" fillId="4" borderId="16" xfId="0" applyFont="1" applyFill="1" applyBorder="1" applyAlignment="1">
      <alignment horizontal="center"/>
    </xf>
    <xf numFmtId="2" fontId="3" fillId="24" borderId="19" xfId="0" applyNumberFormat="1" applyFont="1" applyFill="1" applyBorder="1" applyAlignment="1">
      <alignment horizontal="center"/>
    </xf>
    <xf numFmtId="2" fontId="3" fillId="24" borderId="16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 wrapText="1"/>
    </xf>
    <xf numFmtId="0" fontId="31" fillId="24" borderId="22" xfId="0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center" vertical="center" wrapText="1"/>
    </xf>
    <xf numFmtId="0" fontId="31" fillId="24" borderId="2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S5" sqref="S5"/>
    </sheetView>
  </sheetViews>
  <sheetFormatPr defaultColWidth="9.00390625" defaultRowHeight="12.75"/>
  <cols>
    <col min="1" max="1" width="17.625" style="0" customWidth="1"/>
    <col min="2" max="2" width="6.75390625" style="0" customWidth="1"/>
    <col min="3" max="3" width="5.00390625" style="0" bestFit="1" customWidth="1"/>
    <col min="4" max="4" width="8.125" style="0" customWidth="1"/>
    <col min="5" max="5" width="6.75390625" style="0" customWidth="1"/>
    <col min="6" max="6" width="7.00390625" style="0" customWidth="1"/>
    <col min="7" max="7" width="6.75390625" style="0" customWidth="1"/>
    <col min="8" max="8" width="6.00390625" style="0" customWidth="1"/>
    <col min="9" max="9" width="8.75390625" style="0" bestFit="1" customWidth="1"/>
    <col min="10" max="10" width="6.125" style="0" customWidth="1"/>
    <col min="11" max="11" width="7.25390625" style="0" customWidth="1"/>
    <col min="12" max="12" width="7.625" style="0" customWidth="1"/>
    <col min="13" max="14" width="7.125" style="0" customWidth="1"/>
    <col min="15" max="15" width="7.75390625" style="0" customWidth="1"/>
    <col min="16" max="16" width="7.25390625" style="0" customWidth="1"/>
    <col min="17" max="17" width="8.125" style="0" customWidth="1"/>
    <col min="19" max="19" width="7.375" style="3" customWidth="1"/>
  </cols>
  <sheetData>
    <row r="1" spans="1:19" ht="55.5" customHeight="1">
      <c r="A1" s="63" t="s">
        <v>118</v>
      </c>
      <c r="B1" s="63"/>
      <c r="C1" s="63"/>
      <c r="D1" s="63"/>
      <c r="E1" s="63"/>
      <c r="F1" s="64"/>
      <c r="G1" s="16"/>
      <c r="H1" s="15" t="s">
        <v>198</v>
      </c>
      <c r="I1" s="15">
        <v>2014</v>
      </c>
      <c r="J1" s="16"/>
      <c r="K1" s="16"/>
      <c r="L1" s="16" t="s">
        <v>120</v>
      </c>
      <c r="M1" s="16"/>
      <c r="N1" s="16"/>
      <c r="O1" s="16"/>
      <c r="P1" s="16"/>
      <c r="Q1" s="16" t="s">
        <v>119</v>
      </c>
      <c r="R1" s="16"/>
      <c r="S1" s="16"/>
    </row>
    <row r="2" spans="1:1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5"/>
      <c r="N2" s="55"/>
      <c r="O2" s="17" t="s">
        <v>77</v>
      </c>
    </row>
    <row r="3" spans="1:19" ht="25.5" customHeight="1">
      <c r="A3" s="252" t="s">
        <v>116</v>
      </c>
      <c r="B3" s="254" t="s">
        <v>102</v>
      </c>
      <c r="C3" s="254" t="s">
        <v>103</v>
      </c>
      <c r="D3" s="252" t="s">
        <v>104</v>
      </c>
      <c r="E3" s="254" t="s">
        <v>100</v>
      </c>
      <c r="F3" s="252" t="s">
        <v>105</v>
      </c>
      <c r="G3" s="252" t="s">
        <v>106</v>
      </c>
      <c r="H3" s="252" t="s">
        <v>107</v>
      </c>
      <c r="I3" s="258" t="s">
        <v>108</v>
      </c>
      <c r="J3" s="256" t="s">
        <v>109</v>
      </c>
      <c r="K3" s="252" t="s">
        <v>110</v>
      </c>
      <c r="L3" s="252" t="s">
        <v>111</v>
      </c>
      <c r="M3" s="252" t="s">
        <v>112</v>
      </c>
      <c r="N3" s="254" t="s">
        <v>101</v>
      </c>
      <c r="O3" s="252" t="s">
        <v>99</v>
      </c>
      <c r="P3" s="260" t="s">
        <v>113</v>
      </c>
      <c r="Q3" s="256" t="s">
        <v>114</v>
      </c>
      <c r="R3" s="262" t="s">
        <v>115</v>
      </c>
      <c r="S3" s="264" t="s">
        <v>117</v>
      </c>
    </row>
    <row r="4" spans="1:19" ht="31.5" customHeight="1">
      <c r="A4" s="253"/>
      <c r="B4" s="255"/>
      <c r="C4" s="255"/>
      <c r="D4" s="253"/>
      <c r="E4" s="255"/>
      <c r="F4" s="253"/>
      <c r="G4" s="253"/>
      <c r="H4" s="253"/>
      <c r="I4" s="259"/>
      <c r="J4" s="257"/>
      <c r="K4" s="253"/>
      <c r="L4" s="253"/>
      <c r="M4" s="253"/>
      <c r="N4" s="255"/>
      <c r="O4" s="253"/>
      <c r="P4" s="261"/>
      <c r="Q4" s="257"/>
      <c r="R4" s="263"/>
      <c r="S4" s="265"/>
    </row>
    <row r="5" spans="1:19" ht="12.75">
      <c r="A5" s="61" t="s">
        <v>0</v>
      </c>
      <c r="B5" s="59">
        <v>412.36</v>
      </c>
      <c r="C5" s="59">
        <v>14</v>
      </c>
      <c r="D5" s="2">
        <f aca="true" t="shared" si="0" ref="D5:D24">B5+C5</f>
        <v>426.36</v>
      </c>
      <c r="E5" s="67">
        <v>0.067</v>
      </c>
      <c r="F5" s="20">
        <f aca="true" t="shared" si="1" ref="F5:F24">D5*E5</f>
        <v>28.56612</v>
      </c>
      <c r="G5" s="20">
        <f>B5*14.655/991.2</f>
        <v>6.096787530266344</v>
      </c>
      <c r="H5" s="20">
        <f>C5*13.47/991.2</f>
        <v>0.1902542372881356</v>
      </c>
      <c r="I5" s="65">
        <f aca="true" t="shared" si="2" ref="I5:I24">F5+G5+H5</f>
        <v>34.85316176755448</v>
      </c>
      <c r="J5" s="62">
        <v>991.2</v>
      </c>
      <c r="K5" s="2">
        <f aca="true" t="shared" si="3" ref="K5:K24">I5*J5</f>
        <v>34546.453944</v>
      </c>
      <c r="L5" s="20">
        <f aca="true" t="shared" si="4" ref="L5:L24">D5</f>
        <v>426.36</v>
      </c>
      <c r="M5" s="20">
        <f aca="true" t="shared" si="5" ref="M5:M25">K5/L5</f>
        <v>81.02648922037714</v>
      </c>
      <c r="N5" s="60">
        <v>298.9</v>
      </c>
      <c r="O5" s="20">
        <f aca="true" t="shared" si="6" ref="O5:O24">G5+H5+N5</f>
        <v>305.18704176755443</v>
      </c>
      <c r="P5" s="65">
        <f aca="true" t="shared" si="7" ref="P5:P24">O5-I5</f>
        <v>270.33387999999997</v>
      </c>
      <c r="Q5" s="58">
        <v>9290.5</v>
      </c>
      <c r="R5" s="1">
        <f aca="true" t="shared" si="8" ref="R5:R25">P5*J5</f>
        <v>267954.941856</v>
      </c>
      <c r="S5" s="4">
        <f aca="true" t="shared" si="9" ref="S5:S25">R5/Q5</f>
        <v>28.84182141499381</v>
      </c>
    </row>
    <row r="6" spans="1:19" ht="12.75">
      <c r="A6" s="61" t="s">
        <v>1</v>
      </c>
      <c r="B6" s="59">
        <v>51.746</v>
      </c>
      <c r="C6" s="59">
        <v>931</v>
      </c>
      <c r="D6" s="2">
        <f t="shared" si="0"/>
        <v>982.746</v>
      </c>
      <c r="E6" s="67">
        <v>0.0656</v>
      </c>
      <c r="F6" s="20">
        <f t="shared" si="1"/>
        <v>64.4681376</v>
      </c>
      <c r="G6" s="20">
        <f aca="true" t="shared" si="10" ref="G6:G24">B6*14.655/991.2</f>
        <v>0.7650702481840194</v>
      </c>
      <c r="H6" s="20">
        <f>C6*13.47/991.2</f>
        <v>12.651906779661017</v>
      </c>
      <c r="I6" s="65">
        <f t="shared" si="2"/>
        <v>77.88511462784504</v>
      </c>
      <c r="J6" s="62">
        <v>991.2</v>
      </c>
      <c r="K6" s="2">
        <f t="shared" si="3"/>
        <v>77199.72561912001</v>
      </c>
      <c r="L6" s="2">
        <f t="shared" si="4"/>
        <v>982.746</v>
      </c>
      <c r="M6" s="20">
        <f t="shared" si="5"/>
        <v>78.55511558339593</v>
      </c>
      <c r="N6" s="60">
        <v>380.39</v>
      </c>
      <c r="O6" s="20">
        <f t="shared" si="6"/>
        <v>393.80697702784505</v>
      </c>
      <c r="P6" s="65">
        <f t="shared" si="7"/>
        <v>315.9218624</v>
      </c>
      <c r="Q6" s="58">
        <v>9725.3</v>
      </c>
      <c r="R6" s="1">
        <f t="shared" si="8"/>
        <v>313141.75001088</v>
      </c>
      <c r="S6" s="4">
        <f t="shared" si="9"/>
        <v>32.19867253564209</v>
      </c>
    </row>
    <row r="7" spans="1:19" ht="12.75">
      <c r="A7" s="61" t="s">
        <v>2</v>
      </c>
      <c r="B7" s="59">
        <v>70</v>
      </c>
      <c r="C7" s="59">
        <v>553</v>
      </c>
      <c r="D7" s="2">
        <f t="shared" si="0"/>
        <v>623</v>
      </c>
      <c r="E7" s="67">
        <v>0.073</v>
      </c>
      <c r="F7" s="20">
        <f t="shared" si="1"/>
        <v>45.479</v>
      </c>
      <c r="G7" s="20">
        <f t="shared" si="10"/>
        <v>1.034957627118644</v>
      </c>
      <c r="H7" s="20">
        <f>C7*13.47/991.2</f>
        <v>7.515042372881356</v>
      </c>
      <c r="I7" s="65">
        <v>52.99</v>
      </c>
      <c r="J7" s="62">
        <v>991.2</v>
      </c>
      <c r="K7" s="2">
        <f t="shared" si="3"/>
        <v>52523.688</v>
      </c>
      <c r="L7" s="2">
        <f t="shared" si="4"/>
        <v>623</v>
      </c>
      <c r="M7" s="20">
        <f t="shared" si="5"/>
        <v>84.30768539325842</v>
      </c>
      <c r="N7" s="60">
        <v>251.08</v>
      </c>
      <c r="O7" s="20">
        <f t="shared" si="6"/>
        <v>259.63</v>
      </c>
      <c r="P7" s="65">
        <f t="shared" si="7"/>
        <v>206.64</v>
      </c>
      <c r="Q7" s="58">
        <v>6610</v>
      </c>
      <c r="R7" s="1">
        <f t="shared" si="8"/>
        <v>204821.568</v>
      </c>
      <c r="S7" s="4">
        <f t="shared" si="9"/>
        <v>30.986621482602118</v>
      </c>
    </row>
    <row r="8" spans="1:19" ht="12.75">
      <c r="A8" s="61" t="s">
        <v>3</v>
      </c>
      <c r="B8" s="59">
        <v>660</v>
      </c>
      <c r="C8" s="59">
        <v>0</v>
      </c>
      <c r="D8" s="2">
        <f t="shared" si="0"/>
        <v>660</v>
      </c>
      <c r="E8" s="67">
        <v>0.068</v>
      </c>
      <c r="F8" s="20">
        <f t="shared" si="1"/>
        <v>44.88</v>
      </c>
      <c r="G8" s="20">
        <f t="shared" si="10"/>
        <v>9.758171912832928</v>
      </c>
      <c r="H8" s="20">
        <v>0</v>
      </c>
      <c r="I8" s="65">
        <f t="shared" si="2"/>
        <v>54.63817191283293</v>
      </c>
      <c r="J8" s="62">
        <v>991.2</v>
      </c>
      <c r="K8" s="2">
        <f t="shared" si="3"/>
        <v>54157.35600000001</v>
      </c>
      <c r="L8" s="2">
        <f t="shared" si="4"/>
        <v>660</v>
      </c>
      <c r="M8" s="20">
        <f t="shared" si="5"/>
        <v>82.05660000000002</v>
      </c>
      <c r="N8" s="60">
        <v>272.1</v>
      </c>
      <c r="O8" s="20">
        <f t="shared" si="6"/>
        <v>281.858171912833</v>
      </c>
      <c r="P8" s="65">
        <f t="shared" si="7"/>
        <v>227.22000000000003</v>
      </c>
      <c r="Q8" s="58">
        <v>6343.9</v>
      </c>
      <c r="R8" s="1">
        <f t="shared" si="8"/>
        <v>225220.46400000004</v>
      </c>
      <c r="S8" s="4">
        <f t="shared" si="9"/>
        <v>35.5018937877331</v>
      </c>
    </row>
    <row r="9" spans="1:19" ht="12.75">
      <c r="A9" s="61" t="s">
        <v>4</v>
      </c>
      <c r="B9" s="59">
        <v>496.99</v>
      </c>
      <c r="C9" s="59">
        <v>0</v>
      </c>
      <c r="D9" s="2">
        <f t="shared" si="0"/>
        <v>496.99</v>
      </c>
      <c r="E9" s="67">
        <v>0.068</v>
      </c>
      <c r="F9" s="20">
        <f t="shared" si="1"/>
        <v>33.795320000000004</v>
      </c>
      <c r="G9" s="20">
        <f t="shared" si="10"/>
        <v>7.3480513014527835</v>
      </c>
      <c r="H9" s="20">
        <v>0</v>
      </c>
      <c r="I9" s="65">
        <f t="shared" si="2"/>
        <v>41.14337130145279</v>
      </c>
      <c r="J9" s="62">
        <v>991.2</v>
      </c>
      <c r="K9" s="2">
        <f t="shared" si="3"/>
        <v>40781.309634000005</v>
      </c>
      <c r="L9" s="2">
        <f t="shared" si="4"/>
        <v>496.99</v>
      </c>
      <c r="M9" s="20">
        <f t="shared" si="5"/>
        <v>82.0566</v>
      </c>
      <c r="N9" s="60">
        <v>211.15</v>
      </c>
      <c r="O9" s="20">
        <f t="shared" si="6"/>
        <v>218.4980513014528</v>
      </c>
      <c r="P9" s="65">
        <f t="shared" si="7"/>
        <v>177.35468</v>
      </c>
      <c r="Q9" s="58">
        <v>5989.7</v>
      </c>
      <c r="R9" s="1">
        <f t="shared" si="8"/>
        <v>175793.958816</v>
      </c>
      <c r="S9" s="4">
        <f t="shared" si="9"/>
        <v>29.349376231864703</v>
      </c>
    </row>
    <row r="10" spans="1:19" ht="12.75">
      <c r="A10" s="61" t="s">
        <v>5</v>
      </c>
      <c r="B10" s="59">
        <v>518.6</v>
      </c>
      <c r="C10" s="59">
        <v>0</v>
      </c>
      <c r="D10" s="2">
        <f t="shared" si="0"/>
        <v>518.6</v>
      </c>
      <c r="E10" s="67">
        <v>0.07</v>
      </c>
      <c r="F10" s="20">
        <f t="shared" si="1"/>
        <v>36.30200000000001</v>
      </c>
      <c r="G10" s="20">
        <f t="shared" si="10"/>
        <v>7.667557506053268</v>
      </c>
      <c r="H10" s="20">
        <v>0</v>
      </c>
      <c r="I10" s="65">
        <f t="shared" si="2"/>
        <v>43.96955750605328</v>
      </c>
      <c r="J10" s="62">
        <v>991.2</v>
      </c>
      <c r="K10" s="2">
        <f t="shared" si="3"/>
        <v>43582.62540000001</v>
      </c>
      <c r="L10" s="2">
        <f t="shared" si="4"/>
        <v>518.6</v>
      </c>
      <c r="M10" s="20">
        <f t="shared" si="5"/>
        <v>84.03900000000002</v>
      </c>
      <c r="N10" s="60">
        <v>233.97</v>
      </c>
      <c r="O10" s="20">
        <f t="shared" si="6"/>
        <v>241.63755750605327</v>
      </c>
      <c r="P10" s="65">
        <f t="shared" si="7"/>
        <v>197.668</v>
      </c>
      <c r="Q10" s="58">
        <v>5514.4</v>
      </c>
      <c r="R10" s="1">
        <f t="shared" si="8"/>
        <v>195928.5216</v>
      </c>
      <c r="S10" s="4">
        <f t="shared" si="9"/>
        <v>35.53034266647324</v>
      </c>
    </row>
    <row r="11" spans="1:19" ht="12.75">
      <c r="A11" s="61" t="s">
        <v>6</v>
      </c>
      <c r="B11" s="59">
        <v>24.678</v>
      </c>
      <c r="C11" s="59">
        <v>219</v>
      </c>
      <c r="D11" s="2">
        <f t="shared" si="0"/>
        <v>243.678</v>
      </c>
      <c r="E11" s="67">
        <v>0.066</v>
      </c>
      <c r="F11" s="20">
        <f t="shared" si="1"/>
        <v>16.082748000000002</v>
      </c>
      <c r="G11" s="20">
        <f t="shared" si="10"/>
        <v>0.36486691888619854</v>
      </c>
      <c r="H11" s="20">
        <f>C11*13.47/991.2</f>
        <v>2.9761198547215497</v>
      </c>
      <c r="I11" s="65">
        <f t="shared" si="2"/>
        <v>19.42373477360775</v>
      </c>
      <c r="J11" s="62">
        <v>991.2</v>
      </c>
      <c r="K11" s="2">
        <f t="shared" si="3"/>
        <v>19252.805907600003</v>
      </c>
      <c r="L11" s="2">
        <f t="shared" si="4"/>
        <v>243.678</v>
      </c>
      <c r="M11" s="20">
        <f t="shared" si="5"/>
        <v>79.00920849481695</v>
      </c>
      <c r="N11" s="60">
        <v>245.48</v>
      </c>
      <c r="O11" s="20">
        <f t="shared" si="6"/>
        <v>248.82098677360773</v>
      </c>
      <c r="P11" s="65">
        <f t="shared" si="7"/>
        <v>229.39725199999998</v>
      </c>
      <c r="Q11" s="58">
        <v>7253</v>
      </c>
      <c r="R11" s="1">
        <f t="shared" si="8"/>
        <v>227378.5561824</v>
      </c>
      <c r="S11" s="4">
        <f t="shared" si="9"/>
        <v>31.349587230442577</v>
      </c>
    </row>
    <row r="12" spans="1:19" ht="12.75">
      <c r="A12" s="61" t="s">
        <v>7</v>
      </c>
      <c r="B12" s="59">
        <v>1.147</v>
      </c>
      <c r="C12" s="59">
        <v>0</v>
      </c>
      <c r="D12" s="2">
        <f t="shared" si="0"/>
        <v>1.147</v>
      </c>
      <c r="E12" s="67">
        <v>0.066</v>
      </c>
      <c r="F12" s="20">
        <f t="shared" si="1"/>
        <v>0.075702</v>
      </c>
      <c r="G12" s="20">
        <f t="shared" si="10"/>
        <v>0.016958519975786922</v>
      </c>
      <c r="H12" s="20">
        <v>0</v>
      </c>
      <c r="I12" s="65">
        <f t="shared" si="2"/>
        <v>0.09266051997578692</v>
      </c>
      <c r="J12" s="62">
        <v>991.2</v>
      </c>
      <c r="K12" s="2">
        <f t="shared" si="3"/>
        <v>91.8451074</v>
      </c>
      <c r="L12" s="2">
        <f t="shared" si="4"/>
        <v>1.147</v>
      </c>
      <c r="M12" s="20">
        <v>79.76</v>
      </c>
      <c r="N12" s="60">
        <v>30.73</v>
      </c>
      <c r="O12" s="20">
        <f t="shared" si="6"/>
        <v>30.746958519975788</v>
      </c>
      <c r="P12" s="65">
        <f t="shared" si="7"/>
        <v>30.654298</v>
      </c>
      <c r="Q12" s="58">
        <v>760.9</v>
      </c>
      <c r="R12" s="1">
        <f>P12*1590.78</f>
        <v>48764.24417244</v>
      </c>
      <c r="S12" s="4">
        <f t="shared" si="9"/>
        <v>64.08758598033907</v>
      </c>
    </row>
    <row r="13" spans="1:19" ht="12.75">
      <c r="A13" s="61" t="s">
        <v>8</v>
      </c>
      <c r="B13" s="59">
        <v>360.32</v>
      </c>
      <c r="C13" s="59">
        <v>0</v>
      </c>
      <c r="D13" s="2">
        <f t="shared" si="0"/>
        <v>360.32</v>
      </c>
      <c r="E13" s="67">
        <v>0.068</v>
      </c>
      <c r="F13" s="20">
        <f t="shared" si="1"/>
        <v>24.50176</v>
      </c>
      <c r="G13" s="20">
        <f t="shared" si="10"/>
        <v>5.327370460048426</v>
      </c>
      <c r="H13" s="20">
        <v>0</v>
      </c>
      <c r="I13" s="65">
        <f t="shared" si="2"/>
        <v>29.829130460048425</v>
      </c>
      <c r="J13" s="62">
        <v>991.2</v>
      </c>
      <c r="K13" s="2">
        <f t="shared" si="3"/>
        <v>29566.634112</v>
      </c>
      <c r="L13" s="2">
        <f t="shared" si="4"/>
        <v>360.32</v>
      </c>
      <c r="M13" s="20">
        <f t="shared" si="5"/>
        <v>82.0566</v>
      </c>
      <c r="N13" s="60">
        <v>163.41</v>
      </c>
      <c r="O13" s="20">
        <f t="shared" si="6"/>
        <v>168.73737046004842</v>
      </c>
      <c r="P13" s="65">
        <f t="shared" si="7"/>
        <v>138.90824</v>
      </c>
      <c r="Q13" s="58">
        <v>3718.8</v>
      </c>
      <c r="R13" s="1">
        <f t="shared" si="8"/>
        <v>137685.847488</v>
      </c>
      <c r="S13" s="4">
        <f t="shared" si="9"/>
        <v>37.02426790577606</v>
      </c>
    </row>
    <row r="14" spans="1:19" ht="12.75">
      <c r="A14" s="61" t="s">
        <v>9</v>
      </c>
      <c r="B14" s="59">
        <v>366.58</v>
      </c>
      <c r="C14" s="59">
        <v>0</v>
      </c>
      <c r="D14" s="2">
        <f t="shared" si="0"/>
        <v>366.58</v>
      </c>
      <c r="E14" s="67">
        <v>0.068</v>
      </c>
      <c r="F14" s="20">
        <f t="shared" si="1"/>
        <v>24.92744</v>
      </c>
      <c r="G14" s="20">
        <f t="shared" si="10"/>
        <v>5.419925242130749</v>
      </c>
      <c r="H14" s="20">
        <v>0</v>
      </c>
      <c r="I14" s="65">
        <f t="shared" si="2"/>
        <v>30.34736524213075</v>
      </c>
      <c r="J14" s="62">
        <v>991.2</v>
      </c>
      <c r="K14" s="2">
        <f t="shared" si="3"/>
        <v>30080.308428</v>
      </c>
      <c r="L14" s="2">
        <f t="shared" si="4"/>
        <v>366.58</v>
      </c>
      <c r="M14" s="20">
        <f t="shared" si="5"/>
        <v>82.0566</v>
      </c>
      <c r="N14" s="60">
        <v>400.58</v>
      </c>
      <c r="O14" s="20">
        <f t="shared" si="6"/>
        <v>405.99992524213076</v>
      </c>
      <c r="P14" s="65">
        <f t="shared" si="7"/>
        <v>375.65256</v>
      </c>
      <c r="Q14" s="58">
        <v>9274.6</v>
      </c>
      <c r="R14" s="1">
        <f t="shared" si="8"/>
        <v>372346.817472</v>
      </c>
      <c r="S14" s="4">
        <f t="shared" si="9"/>
        <v>40.14694083539991</v>
      </c>
    </row>
    <row r="15" spans="1:19" ht="12.75">
      <c r="A15" s="61" t="s">
        <v>10</v>
      </c>
      <c r="B15" s="59">
        <v>525</v>
      </c>
      <c r="C15" s="59">
        <v>0</v>
      </c>
      <c r="D15" s="2">
        <f t="shared" si="0"/>
        <v>525</v>
      </c>
      <c r="E15" s="67">
        <v>0.067</v>
      </c>
      <c r="F15" s="20">
        <f t="shared" si="1"/>
        <v>35.175000000000004</v>
      </c>
      <c r="G15" s="20">
        <f t="shared" si="10"/>
        <v>7.7621822033898304</v>
      </c>
      <c r="H15" s="20">
        <v>0</v>
      </c>
      <c r="I15" s="65">
        <f t="shared" si="2"/>
        <v>42.93718220338984</v>
      </c>
      <c r="J15" s="62">
        <v>991.2</v>
      </c>
      <c r="K15" s="2">
        <f t="shared" si="3"/>
        <v>42559.33500000001</v>
      </c>
      <c r="L15" s="2">
        <f t="shared" si="4"/>
        <v>525</v>
      </c>
      <c r="M15" s="20">
        <f t="shared" si="5"/>
        <v>81.06540000000001</v>
      </c>
      <c r="N15" s="60">
        <v>181</v>
      </c>
      <c r="O15" s="20">
        <f t="shared" si="6"/>
        <v>188.76218220338984</v>
      </c>
      <c r="P15" s="65">
        <f t="shared" si="7"/>
        <v>145.825</v>
      </c>
      <c r="Q15" s="58">
        <v>5981.3</v>
      </c>
      <c r="R15" s="1">
        <f t="shared" si="8"/>
        <v>144541.74</v>
      </c>
      <c r="S15" s="4">
        <f t="shared" si="9"/>
        <v>24.16560613913363</v>
      </c>
    </row>
    <row r="16" spans="1:19" ht="12.75">
      <c r="A16" s="61" t="s">
        <v>11</v>
      </c>
      <c r="B16" s="59">
        <v>417.05</v>
      </c>
      <c r="C16" s="59">
        <v>0</v>
      </c>
      <c r="D16" s="2">
        <f t="shared" si="0"/>
        <v>417.05</v>
      </c>
      <c r="E16" s="67">
        <v>0.067</v>
      </c>
      <c r="F16" s="20">
        <f t="shared" si="1"/>
        <v>27.94235</v>
      </c>
      <c r="G16" s="20">
        <f t="shared" si="10"/>
        <v>6.1661296912832935</v>
      </c>
      <c r="H16" s="20">
        <v>0</v>
      </c>
      <c r="I16" s="65">
        <f t="shared" si="2"/>
        <v>34.10847969128329</v>
      </c>
      <c r="J16" s="62">
        <v>991.2</v>
      </c>
      <c r="K16" s="2">
        <f t="shared" si="3"/>
        <v>33808.32507</v>
      </c>
      <c r="L16" s="20">
        <f t="shared" si="4"/>
        <v>417.05</v>
      </c>
      <c r="M16" s="20">
        <f t="shared" si="5"/>
        <v>81.0654</v>
      </c>
      <c r="N16" s="60">
        <v>149.774</v>
      </c>
      <c r="O16" s="20">
        <f t="shared" si="6"/>
        <v>155.9401296912833</v>
      </c>
      <c r="P16" s="65">
        <f t="shared" si="7"/>
        <v>121.83165</v>
      </c>
      <c r="Q16" s="58">
        <v>3323</v>
      </c>
      <c r="R16" s="1">
        <f t="shared" si="8"/>
        <v>120759.53148</v>
      </c>
      <c r="S16" s="4">
        <f t="shared" si="9"/>
        <v>36.340515040625945</v>
      </c>
    </row>
    <row r="17" spans="1:19" ht="12.75">
      <c r="A17" s="61" t="s">
        <v>12</v>
      </c>
      <c r="B17" s="59">
        <v>658.9</v>
      </c>
      <c r="C17" s="59">
        <v>0</v>
      </c>
      <c r="D17" s="2">
        <f t="shared" si="0"/>
        <v>658.9</v>
      </c>
      <c r="E17" s="67">
        <v>0.068</v>
      </c>
      <c r="F17" s="20">
        <f t="shared" si="1"/>
        <v>44.8052</v>
      </c>
      <c r="G17" s="20">
        <f t="shared" si="10"/>
        <v>9.741908292978206</v>
      </c>
      <c r="H17" s="20">
        <v>0</v>
      </c>
      <c r="I17" s="65">
        <f t="shared" si="2"/>
        <v>54.54710829297821</v>
      </c>
      <c r="J17" s="62">
        <v>991.2</v>
      </c>
      <c r="K17" s="2">
        <f t="shared" si="3"/>
        <v>54067.093740000004</v>
      </c>
      <c r="L17" s="20">
        <f t="shared" si="4"/>
        <v>658.9</v>
      </c>
      <c r="M17" s="20">
        <f t="shared" si="5"/>
        <v>82.0566</v>
      </c>
      <c r="N17" s="60">
        <v>264.58</v>
      </c>
      <c r="O17" s="20">
        <f t="shared" si="6"/>
        <v>274.3219082929782</v>
      </c>
      <c r="P17" s="65">
        <f t="shared" si="7"/>
        <v>219.7748</v>
      </c>
      <c r="Q17" s="58">
        <v>6355.1</v>
      </c>
      <c r="R17" s="1">
        <f t="shared" si="8"/>
        <v>217840.78176</v>
      </c>
      <c r="S17" s="4">
        <f t="shared" si="9"/>
        <v>34.278104476719484</v>
      </c>
    </row>
    <row r="18" spans="1:19" ht="12.75">
      <c r="A18" s="61" t="s">
        <v>13</v>
      </c>
      <c r="B18" s="59">
        <v>735.32</v>
      </c>
      <c r="C18" s="59">
        <v>0</v>
      </c>
      <c r="D18" s="2">
        <f t="shared" si="0"/>
        <v>735.32</v>
      </c>
      <c r="E18" s="67">
        <v>0.065</v>
      </c>
      <c r="F18" s="20">
        <f t="shared" si="1"/>
        <v>47.79580000000001</v>
      </c>
      <c r="G18" s="20">
        <f t="shared" si="10"/>
        <v>10.87178631961259</v>
      </c>
      <c r="H18" s="20">
        <v>0</v>
      </c>
      <c r="I18" s="65">
        <f t="shared" si="2"/>
        <v>58.667586319612596</v>
      </c>
      <c r="J18" s="62">
        <v>991.2</v>
      </c>
      <c r="K18" s="2">
        <f t="shared" si="3"/>
        <v>58151.31156000001</v>
      </c>
      <c r="L18" s="2">
        <f t="shared" si="4"/>
        <v>735.32</v>
      </c>
      <c r="M18" s="20">
        <f t="shared" si="5"/>
        <v>79.08300000000001</v>
      </c>
      <c r="N18" s="60">
        <v>224.59</v>
      </c>
      <c r="O18" s="20">
        <f t="shared" si="6"/>
        <v>235.4617863196126</v>
      </c>
      <c r="P18" s="65">
        <f t="shared" si="7"/>
        <v>176.7942</v>
      </c>
      <c r="Q18" s="58">
        <v>4183.8</v>
      </c>
      <c r="R18" s="1">
        <f t="shared" si="8"/>
        <v>175238.41104</v>
      </c>
      <c r="S18" s="4">
        <f t="shared" si="9"/>
        <v>41.884987580668295</v>
      </c>
    </row>
    <row r="19" spans="1:19" ht="12.75">
      <c r="A19" s="61" t="s">
        <v>14</v>
      </c>
      <c r="B19" s="59">
        <v>243.3</v>
      </c>
      <c r="C19" s="59">
        <v>0</v>
      </c>
      <c r="D19" s="2">
        <f t="shared" si="0"/>
        <v>243.3</v>
      </c>
      <c r="E19" s="67">
        <v>0.068</v>
      </c>
      <c r="F19" s="20">
        <f t="shared" si="1"/>
        <v>16.544400000000003</v>
      </c>
      <c r="G19" s="20">
        <f t="shared" si="10"/>
        <v>3.5972170096852296</v>
      </c>
      <c r="H19" s="20">
        <v>0</v>
      </c>
      <c r="I19" s="65">
        <f t="shared" si="2"/>
        <v>20.141617009685234</v>
      </c>
      <c r="J19" s="62">
        <v>991.2</v>
      </c>
      <c r="K19" s="2">
        <f t="shared" si="3"/>
        <v>19964.370780000005</v>
      </c>
      <c r="L19" s="2">
        <f t="shared" si="4"/>
        <v>243.3</v>
      </c>
      <c r="M19" s="20">
        <f t="shared" si="5"/>
        <v>82.05660000000002</v>
      </c>
      <c r="N19" s="60">
        <v>143.9</v>
      </c>
      <c r="O19" s="20">
        <f t="shared" si="6"/>
        <v>147.49721700968524</v>
      </c>
      <c r="P19" s="65">
        <f t="shared" si="7"/>
        <v>127.35560000000001</v>
      </c>
      <c r="Q19" s="58">
        <v>3908.1</v>
      </c>
      <c r="R19" s="1">
        <f t="shared" si="8"/>
        <v>126234.87072000002</v>
      </c>
      <c r="S19" s="4">
        <f t="shared" si="9"/>
        <v>32.30082923159592</v>
      </c>
    </row>
    <row r="20" spans="1:19" ht="12.75">
      <c r="A20" s="61" t="s">
        <v>15</v>
      </c>
      <c r="B20" s="59">
        <v>451.63</v>
      </c>
      <c r="C20" s="59">
        <v>0</v>
      </c>
      <c r="D20" s="2">
        <f t="shared" si="0"/>
        <v>451.63</v>
      </c>
      <c r="E20" s="67">
        <v>0.082</v>
      </c>
      <c r="F20" s="20">
        <f t="shared" si="1"/>
        <v>37.033660000000005</v>
      </c>
      <c r="G20" s="20">
        <f t="shared" si="10"/>
        <v>6.677398759079902</v>
      </c>
      <c r="H20" s="20">
        <v>0</v>
      </c>
      <c r="I20" s="65">
        <f t="shared" si="2"/>
        <v>43.711058759079904</v>
      </c>
      <c r="J20" s="62">
        <v>991.2</v>
      </c>
      <c r="K20" s="2">
        <f t="shared" si="3"/>
        <v>43326.401442</v>
      </c>
      <c r="L20" s="2">
        <f t="shared" si="4"/>
        <v>451.63</v>
      </c>
      <c r="M20" s="20">
        <f t="shared" si="5"/>
        <v>95.9334</v>
      </c>
      <c r="N20" s="60">
        <v>267.85</v>
      </c>
      <c r="O20" s="20">
        <f t="shared" si="6"/>
        <v>274.5273987590799</v>
      </c>
      <c r="P20" s="65">
        <f t="shared" si="7"/>
        <v>230.81634000000003</v>
      </c>
      <c r="Q20" s="58">
        <v>5485.5</v>
      </c>
      <c r="R20" s="1">
        <f t="shared" si="8"/>
        <v>228785.15620800003</v>
      </c>
      <c r="S20" s="4">
        <f t="shared" si="9"/>
        <v>41.70725662346186</v>
      </c>
    </row>
    <row r="21" spans="1:19" ht="12.75">
      <c r="A21" s="61" t="s">
        <v>16</v>
      </c>
      <c r="B21" s="59">
        <v>490.62</v>
      </c>
      <c r="C21" s="59">
        <v>0</v>
      </c>
      <c r="D21" s="2">
        <f t="shared" si="0"/>
        <v>490.62</v>
      </c>
      <c r="E21" s="67">
        <v>0.067</v>
      </c>
      <c r="F21" s="20">
        <f t="shared" si="1"/>
        <v>32.87154</v>
      </c>
      <c r="G21" s="20">
        <f t="shared" si="10"/>
        <v>7.253870157384987</v>
      </c>
      <c r="H21" s="20">
        <v>0</v>
      </c>
      <c r="I21" s="65">
        <f t="shared" si="2"/>
        <v>40.12541015738499</v>
      </c>
      <c r="J21" s="62">
        <v>991.2</v>
      </c>
      <c r="K21" s="2">
        <f t="shared" si="3"/>
        <v>39772.30654800001</v>
      </c>
      <c r="L21" s="2">
        <f t="shared" si="4"/>
        <v>490.62</v>
      </c>
      <c r="M21" s="20">
        <f t="shared" si="5"/>
        <v>81.06540000000001</v>
      </c>
      <c r="N21" s="60">
        <v>189.34</v>
      </c>
      <c r="O21" s="20">
        <f t="shared" si="6"/>
        <v>196.593870157385</v>
      </c>
      <c r="P21" s="65">
        <f t="shared" si="7"/>
        <v>156.46846</v>
      </c>
      <c r="Q21" s="58">
        <v>4673.4</v>
      </c>
      <c r="R21" s="1">
        <f t="shared" si="8"/>
        <v>155091.537552</v>
      </c>
      <c r="S21" s="4">
        <f t="shared" si="9"/>
        <v>33.18601822056747</v>
      </c>
    </row>
    <row r="22" spans="1:19" ht="12.75">
      <c r="A22" s="61" t="s">
        <v>42</v>
      </c>
      <c r="B22" s="59">
        <v>0</v>
      </c>
      <c r="C22" s="59">
        <v>421</v>
      </c>
      <c r="D22" s="2">
        <f t="shared" si="0"/>
        <v>421</v>
      </c>
      <c r="E22" s="67">
        <v>0.065</v>
      </c>
      <c r="F22" s="20">
        <f t="shared" si="1"/>
        <v>27.365000000000002</v>
      </c>
      <c r="G22" s="20">
        <f t="shared" si="10"/>
        <v>0</v>
      </c>
      <c r="H22" s="20">
        <f>C22*13.47/991.2</f>
        <v>5.721216707021791</v>
      </c>
      <c r="I22" s="65">
        <f t="shared" si="2"/>
        <v>33.08621670702179</v>
      </c>
      <c r="J22" s="62">
        <v>991.2</v>
      </c>
      <c r="K22" s="2">
        <f t="shared" si="3"/>
        <v>32795.058</v>
      </c>
      <c r="L22" s="2">
        <f t="shared" si="4"/>
        <v>421</v>
      </c>
      <c r="M22" s="20">
        <f t="shared" si="5"/>
        <v>77.898</v>
      </c>
      <c r="N22" s="60">
        <v>182.96</v>
      </c>
      <c r="O22" s="20">
        <f t="shared" si="6"/>
        <v>188.6812167070218</v>
      </c>
      <c r="P22" s="65">
        <f t="shared" si="7"/>
        <v>155.59500000000003</v>
      </c>
      <c r="Q22" s="58">
        <v>6616.4</v>
      </c>
      <c r="R22" s="1">
        <f t="shared" si="8"/>
        <v>154225.76400000002</v>
      </c>
      <c r="S22" s="4">
        <f t="shared" si="9"/>
        <v>23.309619128226835</v>
      </c>
    </row>
    <row r="23" spans="1:19" ht="12.75">
      <c r="A23" s="61" t="s">
        <v>49</v>
      </c>
      <c r="B23" s="59">
        <v>325</v>
      </c>
      <c r="C23" s="59">
        <v>0</v>
      </c>
      <c r="D23" s="2">
        <f t="shared" si="0"/>
        <v>325</v>
      </c>
      <c r="E23" s="67">
        <v>0.069</v>
      </c>
      <c r="F23" s="20">
        <f t="shared" si="1"/>
        <v>22.425</v>
      </c>
      <c r="G23" s="20">
        <f t="shared" si="10"/>
        <v>4.805160411622276</v>
      </c>
      <c r="H23" s="20">
        <v>0</v>
      </c>
      <c r="I23" s="65">
        <f t="shared" si="2"/>
        <v>27.230160411622276</v>
      </c>
      <c r="J23" s="62">
        <v>991.2</v>
      </c>
      <c r="K23" s="2">
        <f t="shared" si="3"/>
        <v>26990.535</v>
      </c>
      <c r="L23" s="2">
        <f t="shared" si="4"/>
        <v>325</v>
      </c>
      <c r="M23" s="20">
        <f t="shared" si="5"/>
        <v>83.0478</v>
      </c>
      <c r="N23" s="60">
        <v>36</v>
      </c>
      <c r="O23" s="20">
        <f t="shared" si="6"/>
        <v>40.805160411622275</v>
      </c>
      <c r="P23" s="65">
        <f t="shared" si="7"/>
        <v>13.575</v>
      </c>
      <c r="Q23" s="58">
        <v>663.9</v>
      </c>
      <c r="R23" s="1">
        <f t="shared" si="8"/>
        <v>13455.539999999999</v>
      </c>
      <c r="S23" s="4">
        <f t="shared" si="9"/>
        <v>20.26741979213737</v>
      </c>
    </row>
    <row r="24" spans="1:19" ht="12.75">
      <c r="A24" s="61" t="s">
        <v>97</v>
      </c>
      <c r="B24" s="59">
        <v>90.9</v>
      </c>
      <c r="C24" s="59">
        <v>51</v>
      </c>
      <c r="D24" s="2">
        <f t="shared" si="0"/>
        <v>141.9</v>
      </c>
      <c r="E24" s="67">
        <v>0.0771</v>
      </c>
      <c r="F24" s="20">
        <f t="shared" si="1"/>
        <v>10.94049</v>
      </c>
      <c r="G24" s="20">
        <f t="shared" si="10"/>
        <v>1.3439664043583535</v>
      </c>
      <c r="H24" s="20">
        <f>C24*13.47/991.2</f>
        <v>0.6930690072639225</v>
      </c>
      <c r="I24" s="66">
        <f t="shared" si="2"/>
        <v>12.977525411622276</v>
      </c>
      <c r="J24" s="62">
        <v>991.2</v>
      </c>
      <c r="K24" s="2">
        <f t="shared" si="3"/>
        <v>12863.323188</v>
      </c>
      <c r="L24" s="2">
        <f t="shared" si="4"/>
        <v>141.9</v>
      </c>
      <c r="M24" s="20">
        <f t="shared" si="5"/>
        <v>90.65062147991543</v>
      </c>
      <c r="N24" s="60">
        <v>92.3</v>
      </c>
      <c r="O24" s="20">
        <f t="shared" si="6"/>
        <v>94.33703541162227</v>
      </c>
      <c r="P24" s="65">
        <f t="shared" si="7"/>
        <v>81.35950999999999</v>
      </c>
      <c r="Q24" s="58">
        <v>2905.2</v>
      </c>
      <c r="R24" s="1">
        <f t="shared" si="8"/>
        <v>80643.54631199999</v>
      </c>
      <c r="S24" s="4">
        <f t="shared" si="9"/>
        <v>27.7583458323007</v>
      </c>
    </row>
    <row r="25" spans="1:19" ht="12.75">
      <c r="A25" s="2" t="s">
        <v>17</v>
      </c>
      <c r="B25" s="59">
        <f>SUM(B5:B24)</f>
        <v>6900.141</v>
      </c>
      <c r="C25" s="59">
        <f>SUM(C5:C24)</f>
        <v>2189</v>
      </c>
      <c r="D25" s="2">
        <f>SUM(D5:D24)</f>
        <v>9089.141</v>
      </c>
      <c r="E25" s="59"/>
      <c r="F25" s="20">
        <f>SUM(F5:F24)</f>
        <v>621.9766675999998</v>
      </c>
      <c r="G25" s="20">
        <f>SUM(G5:G24)</f>
        <v>102.01933651634383</v>
      </c>
      <c r="H25" s="20">
        <f>SUM(H5:H24)</f>
        <v>29.747608958837773</v>
      </c>
      <c r="I25" s="65">
        <f>SUM(I5:I24)+0.01</f>
        <v>752.7146130751817</v>
      </c>
      <c r="J25" s="2">
        <v>991.2</v>
      </c>
      <c r="K25" s="2">
        <f>SUM(K5:K23)</f>
        <v>733217.4892921201</v>
      </c>
      <c r="L25" s="2">
        <f>SUM(L5:L24)</f>
        <v>9089.141</v>
      </c>
      <c r="M25" s="20">
        <f t="shared" si="5"/>
        <v>80.66961325521522</v>
      </c>
      <c r="N25" s="60">
        <f>SUM(N5:N24)</f>
        <v>4220.084</v>
      </c>
      <c r="O25" s="20">
        <f>SUM(SUM(O5:O24))</f>
        <v>4351.850945475182</v>
      </c>
      <c r="P25" s="65">
        <f>SUM(P5:P24)</f>
        <v>3599.146332399999</v>
      </c>
      <c r="Q25" s="57">
        <f>Q5+Q6+Q7+Q8+Q9+Q10+Q11+Q12+Q13+Q14+Q15+Q16+Q17+Q18+Q19+Q20+Q21+Q22</f>
        <v>105007.7</v>
      </c>
      <c r="R25" s="1">
        <f t="shared" si="8"/>
        <v>3567473.844674879</v>
      </c>
      <c r="S25" s="4">
        <f t="shared" si="9"/>
        <v>33.97344999152328</v>
      </c>
    </row>
    <row r="26" spans="4:14" ht="12.75">
      <c r="D26" s="14"/>
      <c r="E26" s="14"/>
      <c r="F26" s="14"/>
      <c r="G26" s="14"/>
      <c r="H26" s="251"/>
      <c r="I26" s="251"/>
      <c r="J26" s="251"/>
      <c r="K26" s="14"/>
      <c r="L26" s="14"/>
      <c r="M26" s="56"/>
      <c r="N26" s="56"/>
    </row>
    <row r="27" ht="12.75">
      <c r="P27" t="s">
        <v>46</v>
      </c>
    </row>
    <row r="28" spans="2:15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4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0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0"/>
    </row>
    <row r="31" spans="1:1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0"/>
    </row>
    <row r="34" spans="1:12" ht="12.75">
      <c r="A34" s="5" t="s">
        <v>41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7" ht="12.75">
      <c r="A36" t="s">
        <v>39</v>
      </c>
      <c r="G36" s="5"/>
    </row>
  </sheetData>
  <sheetProtection/>
  <mergeCells count="20">
    <mergeCell ref="A3:A4"/>
    <mergeCell ref="F3:F4"/>
    <mergeCell ref="G3:G4"/>
    <mergeCell ref="H3:H4"/>
    <mergeCell ref="B3:B4"/>
    <mergeCell ref="C3:C4"/>
    <mergeCell ref="D3:D4"/>
    <mergeCell ref="E3:E4"/>
    <mergeCell ref="P3:P4"/>
    <mergeCell ref="Q3:Q4"/>
    <mergeCell ref="R3:R4"/>
    <mergeCell ref="S3:S4"/>
    <mergeCell ref="H26:J26"/>
    <mergeCell ref="O3:O4"/>
    <mergeCell ref="M3:M4"/>
    <mergeCell ref="N3:N4"/>
    <mergeCell ref="K3:K4"/>
    <mergeCell ref="L3:L4"/>
    <mergeCell ref="J3:J4"/>
    <mergeCell ref="I3:I4"/>
  </mergeCells>
  <printOptions/>
  <pageMargins left="0.3937007874015748" right="0.3937007874015748" top="0.3937007874015748" bottom="0.3937007874015748" header="0.31496062992125984" footer="0.1181102362204724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6"/>
  <sheetViews>
    <sheetView workbookViewId="0" topLeftCell="A46">
      <selection activeCell="S62" sqref="S62"/>
    </sheetView>
  </sheetViews>
  <sheetFormatPr defaultColWidth="9.00390625" defaultRowHeight="12.75"/>
  <cols>
    <col min="1" max="1" width="16.625" style="0" customWidth="1"/>
    <col min="2" max="2" width="9.00390625" style="0" customWidth="1"/>
    <col min="3" max="3" width="7.00390625" style="0" customWidth="1"/>
    <col min="4" max="4" width="8.875" style="0" customWidth="1"/>
    <col min="5" max="5" width="7.625" style="0" customWidth="1"/>
    <col min="6" max="6" width="6.75390625" style="0" customWidth="1"/>
    <col min="7" max="7" width="7.125" style="0" customWidth="1"/>
    <col min="8" max="8" width="7.625" style="0" customWidth="1"/>
    <col min="9" max="9" width="6.875" style="0" customWidth="1"/>
    <col min="10" max="10" width="7.75390625" style="0" customWidth="1"/>
    <col min="11" max="11" width="7.875" style="0" customWidth="1"/>
    <col min="12" max="12" width="8.625" style="0" customWidth="1"/>
    <col min="13" max="13" width="9.25390625" style="0" customWidth="1"/>
    <col min="14" max="14" width="8.625" style="0" customWidth="1"/>
    <col min="15" max="15" width="7.25390625" style="0" customWidth="1"/>
    <col min="16" max="16" width="7.00390625" style="0" customWidth="1"/>
    <col min="17" max="17" width="7.125" style="0" customWidth="1"/>
    <col min="18" max="18" width="9.875" style="0" customWidth="1"/>
    <col min="19" max="19" width="6.875" style="3" customWidth="1"/>
  </cols>
  <sheetData>
    <row r="1" spans="1:19" ht="37.5" customHeight="1">
      <c r="A1" s="63" t="s">
        <v>136</v>
      </c>
      <c r="B1" s="63"/>
      <c r="C1" s="63"/>
      <c r="D1" s="63"/>
      <c r="E1" s="63"/>
      <c r="F1" s="64"/>
      <c r="G1" s="16"/>
      <c r="H1" s="279" t="s">
        <v>158</v>
      </c>
      <c r="I1" s="279"/>
      <c r="J1" s="15">
        <v>2014</v>
      </c>
      <c r="K1" s="16"/>
      <c r="L1" s="16" t="s">
        <v>120</v>
      </c>
      <c r="M1" s="16"/>
      <c r="N1" s="16"/>
      <c r="O1" s="16"/>
      <c r="P1" s="16"/>
      <c r="Q1" s="16" t="s">
        <v>119</v>
      </c>
      <c r="R1" s="16"/>
      <c r="S1" s="16"/>
    </row>
    <row r="2" spans="1:1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5"/>
      <c r="N2" s="55"/>
      <c r="O2" s="17"/>
    </row>
    <row r="3" spans="1:19" ht="25.5" customHeight="1">
      <c r="A3" s="252" t="s">
        <v>116</v>
      </c>
      <c r="B3" s="270" t="s">
        <v>126</v>
      </c>
      <c r="C3" s="270" t="s">
        <v>127</v>
      </c>
      <c r="D3" s="272" t="s">
        <v>104</v>
      </c>
      <c r="E3" s="270" t="s">
        <v>100</v>
      </c>
      <c r="F3" s="272" t="s">
        <v>128</v>
      </c>
      <c r="G3" s="268" t="s">
        <v>140</v>
      </c>
      <c r="H3" s="268" t="s">
        <v>131</v>
      </c>
      <c r="I3" s="276" t="s">
        <v>132</v>
      </c>
      <c r="J3" s="278" t="s">
        <v>165</v>
      </c>
      <c r="K3" s="272" t="s">
        <v>124</v>
      </c>
      <c r="L3" s="272" t="s">
        <v>129</v>
      </c>
      <c r="M3" s="285" t="s">
        <v>125</v>
      </c>
      <c r="N3" s="270" t="s">
        <v>133</v>
      </c>
      <c r="O3" s="272" t="s">
        <v>142</v>
      </c>
      <c r="P3" s="274" t="s">
        <v>135</v>
      </c>
      <c r="Q3" s="278" t="s">
        <v>123</v>
      </c>
      <c r="R3" s="266" t="s">
        <v>115</v>
      </c>
      <c r="S3" s="243" t="s">
        <v>117</v>
      </c>
    </row>
    <row r="4" spans="1:19" ht="70.5" customHeight="1">
      <c r="A4" s="253"/>
      <c r="B4" s="271"/>
      <c r="C4" s="271"/>
      <c r="D4" s="273"/>
      <c r="E4" s="271"/>
      <c r="F4" s="273"/>
      <c r="G4" s="242"/>
      <c r="H4" s="242"/>
      <c r="I4" s="277"/>
      <c r="J4" s="242"/>
      <c r="K4" s="273"/>
      <c r="L4" s="273"/>
      <c r="M4" s="286"/>
      <c r="N4" s="271"/>
      <c r="O4" s="273"/>
      <c r="P4" s="275"/>
      <c r="Q4" s="242"/>
      <c r="R4" s="267"/>
      <c r="S4" s="240"/>
    </row>
    <row r="5" spans="1:19" s="72" customFormat="1" ht="10.5" customHeight="1">
      <c r="A5" s="68"/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69">
        <v>6</v>
      </c>
      <c r="H5" s="69">
        <v>7</v>
      </c>
      <c r="I5" s="69">
        <v>8</v>
      </c>
      <c r="J5" s="69">
        <v>9</v>
      </c>
      <c r="K5" s="69">
        <v>10</v>
      </c>
      <c r="L5" s="69">
        <v>11</v>
      </c>
      <c r="M5" s="105">
        <v>12</v>
      </c>
      <c r="N5" s="69">
        <v>13</v>
      </c>
      <c r="O5" s="69">
        <v>14</v>
      </c>
      <c r="P5" s="69">
        <v>15</v>
      </c>
      <c r="Q5" s="69">
        <v>16</v>
      </c>
      <c r="R5" s="69">
        <v>17</v>
      </c>
      <c r="S5" s="69">
        <v>18</v>
      </c>
    </row>
    <row r="6" spans="1:19" ht="12.75">
      <c r="A6" s="61" t="s">
        <v>0</v>
      </c>
      <c r="B6" s="85">
        <v>507.782</v>
      </c>
      <c r="C6" s="59">
        <v>230</v>
      </c>
      <c r="D6" s="2">
        <f aca="true" t="shared" si="0" ref="D6:D25">B6+C6</f>
        <v>737.7819999999999</v>
      </c>
      <c r="E6" s="67">
        <v>0.0595</v>
      </c>
      <c r="F6" s="20">
        <f aca="true" t="shared" si="1" ref="F6:F25">D6*E6</f>
        <v>43.898028999999994</v>
      </c>
      <c r="G6" s="80">
        <f aca="true" t="shared" si="2" ref="G6:G12">B6*14.49/1050.67</f>
        <v>7.0029230681374735</v>
      </c>
      <c r="H6" s="80">
        <f aca="true" t="shared" si="3" ref="H6:H25">C6*13.98/1050.67</f>
        <v>3.06033293041583</v>
      </c>
      <c r="I6" s="65">
        <f aca="true" t="shared" si="4" ref="I6:I25">F6+G6+H6</f>
        <v>53.9612849985533</v>
      </c>
      <c r="J6" s="62">
        <v>1050.67</v>
      </c>
      <c r="K6" s="2">
        <f aca="true" t="shared" si="5" ref="K6:K25">I6*J6</f>
        <v>56695.50330943</v>
      </c>
      <c r="L6" s="111">
        <f aca="true" t="shared" si="6" ref="L6:L25">D6</f>
        <v>737.7819999999999</v>
      </c>
      <c r="M6" s="186">
        <f aca="true" t="shared" si="7" ref="M6:M25">K6/L6</f>
        <v>76.84587494602742</v>
      </c>
      <c r="N6" s="85">
        <v>187.09</v>
      </c>
      <c r="O6" s="20">
        <f aca="true" t="shared" si="8" ref="O6:O25">G6+H6+N6</f>
        <v>197.1532559985533</v>
      </c>
      <c r="P6" s="65">
        <f aca="true" t="shared" si="9" ref="P6:P25">O6-I6</f>
        <v>143.191971</v>
      </c>
      <c r="Q6" s="58">
        <v>9290.5</v>
      </c>
      <c r="R6" s="1">
        <f aca="true" t="shared" si="10" ref="R6:R26">P6*J6</f>
        <v>150447.50817057</v>
      </c>
      <c r="S6" s="4">
        <f aca="true" t="shared" si="11" ref="S6:S26">R6/Q6</f>
        <v>16.193693361021474</v>
      </c>
    </row>
    <row r="7" spans="1:19" ht="12.75">
      <c r="A7" s="61" t="s">
        <v>1</v>
      </c>
      <c r="B7" s="85">
        <v>37.907</v>
      </c>
      <c r="C7" s="59">
        <v>1082</v>
      </c>
      <c r="D7" s="2">
        <f t="shared" si="0"/>
        <v>1119.907</v>
      </c>
      <c r="E7" s="67">
        <v>0.057</v>
      </c>
      <c r="F7" s="20">
        <f t="shared" si="1"/>
        <v>63.834699</v>
      </c>
      <c r="G7" s="80">
        <f t="shared" si="2"/>
        <v>0.5227830146477961</v>
      </c>
      <c r="H7" s="80">
        <f t="shared" si="3"/>
        <v>14.396870568304035</v>
      </c>
      <c r="I7" s="65">
        <f t="shared" si="4"/>
        <v>78.75435258295184</v>
      </c>
      <c r="J7" s="62">
        <v>1050.67</v>
      </c>
      <c r="K7" s="2">
        <f t="shared" si="5"/>
        <v>82744.83562833001</v>
      </c>
      <c r="L7" s="111">
        <f t="shared" si="6"/>
        <v>1119.907</v>
      </c>
      <c r="M7" s="186">
        <f t="shared" si="7"/>
        <v>73.88545265663133</v>
      </c>
      <c r="N7" s="85">
        <v>229.795</v>
      </c>
      <c r="O7" s="20">
        <f t="shared" si="8"/>
        <v>244.71465358295183</v>
      </c>
      <c r="P7" s="65">
        <f t="shared" si="9"/>
        <v>165.960301</v>
      </c>
      <c r="Q7" s="58">
        <v>9725.3</v>
      </c>
      <c r="R7" s="1">
        <f t="shared" si="10"/>
        <v>174369.50945167</v>
      </c>
      <c r="S7" s="4">
        <f t="shared" si="11"/>
        <v>17.929473584534154</v>
      </c>
    </row>
    <row r="8" spans="1:19" ht="12.75">
      <c r="A8" s="61" t="s">
        <v>2</v>
      </c>
      <c r="B8" s="85">
        <v>17.476</v>
      </c>
      <c r="C8" s="59">
        <v>537</v>
      </c>
      <c r="D8" s="2">
        <f t="shared" si="0"/>
        <v>554.476</v>
      </c>
      <c r="E8" s="67">
        <v>0.0581</v>
      </c>
      <c r="F8" s="20">
        <f t="shared" si="1"/>
        <v>32.2150556</v>
      </c>
      <c r="G8" s="80">
        <f t="shared" si="2"/>
        <v>0.2410150094701476</v>
      </c>
      <c r="H8" s="80">
        <f t="shared" si="3"/>
        <v>7.145212102753481</v>
      </c>
      <c r="I8" s="65">
        <f t="shared" si="4"/>
        <v>39.60128271222363</v>
      </c>
      <c r="J8" s="62">
        <v>1050.67</v>
      </c>
      <c r="K8" s="2">
        <f t="shared" si="5"/>
        <v>41607.879707252</v>
      </c>
      <c r="L8" s="53">
        <f t="shared" si="6"/>
        <v>554.476</v>
      </c>
      <c r="M8" s="186">
        <f t="shared" si="7"/>
        <v>75.04000120339204</v>
      </c>
      <c r="N8" s="85">
        <v>155.21</v>
      </c>
      <c r="O8" s="20">
        <f t="shared" si="8"/>
        <v>162.59622711222363</v>
      </c>
      <c r="P8" s="65">
        <f t="shared" si="9"/>
        <v>122.99494440000001</v>
      </c>
      <c r="Q8" s="58">
        <v>6610</v>
      </c>
      <c r="R8" s="1">
        <f t="shared" si="10"/>
        <v>129227.09823274802</v>
      </c>
      <c r="S8" s="4">
        <f t="shared" si="11"/>
        <v>19.550241790128293</v>
      </c>
    </row>
    <row r="9" spans="1:19" ht="12.75">
      <c r="A9" s="61" t="s">
        <v>3</v>
      </c>
      <c r="B9" s="85">
        <v>464.395</v>
      </c>
      <c r="C9" s="59">
        <v>0</v>
      </c>
      <c r="D9" s="2">
        <f t="shared" si="0"/>
        <v>464.395</v>
      </c>
      <c r="E9" s="67">
        <v>0.0635</v>
      </c>
      <c r="F9" s="20">
        <f t="shared" si="1"/>
        <v>29.4890825</v>
      </c>
      <c r="G9" s="80">
        <f t="shared" si="2"/>
        <v>6.404564278032113</v>
      </c>
      <c r="H9" s="80">
        <f t="shared" si="3"/>
        <v>0</v>
      </c>
      <c r="I9" s="65">
        <f t="shared" si="4"/>
        <v>35.893646778032114</v>
      </c>
      <c r="J9" s="62">
        <v>1050.67</v>
      </c>
      <c r="K9" s="2">
        <f t="shared" si="5"/>
        <v>37712.377860275</v>
      </c>
      <c r="L9" s="53">
        <f t="shared" si="6"/>
        <v>464.395</v>
      </c>
      <c r="M9" s="186">
        <f t="shared" si="7"/>
        <v>81.20754500000001</v>
      </c>
      <c r="N9" s="85">
        <v>185.623</v>
      </c>
      <c r="O9" s="20">
        <f t="shared" si="8"/>
        <v>192.02756427803212</v>
      </c>
      <c r="P9" s="65">
        <f t="shared" si="9"/>
        <v>156.1339175</v>
      </c>
      <c r="Q9" s="58">
        <v>6343.9</v>
      </c>
      <c r="R9" s="1">
        <f t="shared" si="10"/>
        <v>164045.223099725</v>
      </c>
      <c r="S9" s="4">
        <f t="shared" si="11"/>
        <v>25.858734075210045</v>
      </c>
    </row>
    <row r="10" spans="1:19" ht="12.75">
      <c r="A10" s="61" t="s">
        <v>4</v>
      </c>
      <c r="B10" s="85">
        <v>368.676</v>
      </c>
      <c r="C10" s="59">
        <v>0</v>
      </c>
      <c r="D10" s="2">
        <f t="shared" si="0"/>
        <v>368.676</v>
      </c>
      <c r="E10" s="67">
        <v>0.0575</v>
      </c>
      <c r="F10" s="20">
        <f t="shared" si="1"/>
        <v>21.19887</v>
      </c>
      <c r="G10" s="80">
        <f t="shared" si="2"/>
        <v>5.084484414706806</v>
      </c>
      <c r="H10" s="80">
        <f t="shared" si="3"/>
        <v>0</v>
      </c>
      <c r="I10" s="65">
        <f t="shared" si="4"/>
        <v>26.283354414706807</v>
      </c>
      <c r="J10" s="62">
        <v>1050.67</v>
      </c>
      <c r="K10" s="2">
        <f t="shared" si="5"/>
        <v>27615.131982900002</v>
      </c>
      <c r="L10" s="53">
        <f t="shared" si="6"/>
        <v>368.676</v>
      </c>
      <c r="M10" s="186">
        <f t="shared" si="7"/>
        <v>74.903525</v>
      </c>
      <c r="N10" s="85">
        <v>103.353</v>
      </c>
      <c r="O10" s="20">
        <f t="shared" si="8"/>
        <v>108.4374844147068</v>
      </c>
      <c r="P10" s="65">
        <f t="shared" si="9"/>
        <v>82.15413</v>
      </c>
      <c r="Q10" s="58">
        <v>5989.7</v>
      </c>
      <c r="R10" s="1">
        <f t="shared" si="10"/>
        <v>86316.8797671</v>
      </c>
      <c r="S10" s="4">
        <f t="shared" si="11"/>
        <v>14.410885314306228</v>
      </c>
    </row>
    <row r="11" spans="1:19" ht="12.75">
      <c r="A11" s="61" t="s">
        <v>5</v>
      </c>
      <c r="B11" s="85">
        <v>454.043</v>
      </c>
      <c r="C11" s="59">
        <v>0</v>
      </c>
      <c r="D11" s="2">
        <f t="shared" si="0"/>
        <v>454.043</v>
      </c>
      <c r="E11" s="67">
        <v>0.0622</v>
      </c>
      <c r="F11" s="20">
        <f t="shared" si="1"/>
        <v>28.2414746</v>
      </c>
      <c r="G11" s="80">
        <f t="shared" si="2"/>
        <v>6.2617977766568</v>
      </c>
      <c r="H11" s="80">
        <f t="shared" si="3"/>
        <v>0</v>
      </c>
      <c r="I11" s="65">
        <f t="shared" si="4"/>
        <v>34.5032723766568</v>
      </c>
      <c r="J11" s="62">
        <v>1050.67</v>
      </c>
      <c r="K11" s="2">
        <f t="shared" si="5"/>
        <v>36251.553187982005</v>
      </c>
      <c r="L11" s="53">
        <f t="shared" si="6"/>
        <v>454.043</v>
      </c>
      <c r="M11" s="186">
        <f t="shared" si="7"/>
        <v>79.84167400000001</v>
      </c>
      <c r="N11" s="85">
        <v>145.991</v>
      </c>
      <c r="O11" s="20">
        <f t="shared" si="8"/>
        <v>152.25279777665682</v>
      </c>
      <c r="P11" s="65">
        <f t="shared" si="9"/>
        <v>117.74952540000001</v>
      </c>
      <c r="Q11" s="58">
        <v>5514.4</v>
      </c>
      <c r="R11" s="1">
        <f t="shared" si="10"/>
        <v>123715.89385201802</v>
      </c>
      <c r="S11" s="4">
        <f t="shared" si="11"/>
        <v>22.435059816483758</v>
      </c>
    </row>
    <row r="12" spans="1:19" ht="12.75">
      <c r="A12" s="61" t="s">
        <v>6</v>
      </c>
      <c r="B12" s="85">
        <v>361.641</v>
      </c>
      <c r="C12" s="59">
        <v>0</v>
      </c>
      <c r="D12" s="2">
        <f t="shared" si="0"/>
        <v>361.641</v>
      </c>
      <c r="E12" s="67">
        <v>0.0601</v>
      </c>
      <c r="F12" s="20">
        <f t="shared" si="1"/>
        <v>21.7346241</v>
      </c>
      <c r="G12" s="80">
        <f t="shared" si="2"/>
        <v>4.987463323403162</v>
      </c>
      <c r="H12" s="80">
        <f t="shared" si="3"/>
        <v>0</v>
      </c>
      <c r="I12" s="65">
        <f t="shared" si="4"/>
        <v>26.722087423403163</v>
      </c>
      <c r="J12" s="62">
        <v>1050.67</v>
      </c>
      <c r="K12" s="2">
        <f t="shared" si="5"/>
        <v>28076.095593147005</v>
      </c>
      <c r="L12" s="53">
        <f t="shared" si="6"/>
        <v>361.641</v>
      </c>
      <c r="M12" s="186">
        <f t="shared" si="7"/>
        <v>77.63526700000001</v>
      </c>
      <c r="N12" s="85">
        <v>147.907</v>
      </c>
      <c r="O12" s="20">
        <f t="shared" si="8"/>
        <v>152.89446332340316</v>
      </c>
      <c r="P12" s="65">
        <f t="shared" si="9"/>
        <v>126.17237589999999</v>
      </c>
      <c r="Q12" s="58">
        <v>7253</v>
      </c>
      <c r="R12" s="1">
        <f t="shared" si="10"/>
        <v>132565.530186853</v>
      </c>
      <c r="S12" s="4">
        <f t="shared" si="11"/>
        <v>18.277337679146974</v>
      </c>
    </row>
    <row r="13" spans="1:19" ht="12.75">
      <c r="A13" s="61" t="s">
        <v>7</v>
      </c>
      <c r="B13" s="85">
        <v>0.959</v>
      </c>
      <c r="C13" s="59">
        <v>0</v>
      </c>
      <c r="D13" s="2">
        <f t="shared" si="0"/>
        <v>0.959</v>
      </c>
      <c r="E13" s="67">
        <v>0.0563</v>
      </c>
      <c r="F13" s="20">
        <f t="shared" si="1"/>
        <v>0.053991700000000004</v>
      </c>
      <c r="G13" s="80">
        <f>B13*14.49/1348.12</f>
        <v>0.010307620983295256</v>
      </c>
      <c r="H13" s="80">
        <f t="shared" si="3"/>
        <v>0</v>
      </c>
      <c r="I13" s="65">
        <f t="shared" si="4"/>
        <v>0.06429932098329526</v>
      </c>
      <c r="J13" s="62">
        <f>1348.12*118%</f>
        <v>1590.7815999999998</v>
      </c>
      <c r="K13" s="2">
        <f t="shared" si="5"/>
        <v>102.28617671271999</v>
      </c>
      <c r="L13" s="53">
        <f t="shared" si="6"/>
        <v>0.959</v>
      </c>
      <c r="M13" s="186">
        <f t="shared" si="7"/>
        <v>106.65920408</v>
      </c>
      <c r="N13" s="85">
        <v>16.823</v>
      </c>
      <c r="O13" s="20">
        <f t="shared" si="8"/>
        <v>16.833307620983295</v>
      </c>
      <c r="P13" s="65">
        <f t="shared" si="9"/>
        <v>16.7690083</v>
      </c>
      <c r="Q13" s="58">
        <v>760.9</v>
      </c>
      <c r="R13" s="1">
        <f t="shared" si="10"/>
        <v>26675.829853887277</v>
      </c>
      <c r="S13" s="4">
        <f t="shared" si="11"/>
        <v>35.05825976328989</v>
      </c>
    </row>
    <row r="14" spans="1:19" ht="12.75">
      <c r="A14" s="61" t="s">
        <v>8</v>
      </c>
      <c r="B14" s="85">
        <v>340.683</v>
      </c>
      <c r="C14" s="59">
        <v>0</v>
      </c>
      <c r="D14" s="2">
        <f t="shared" si="0"/>
        <v>340.683</v>
      </c>
      <c r="E14" s="67">
        <v>0.0591</v>
      </c>
      <c r="F14" s="20">
        <f t="shared" si="1"/>
        <v>20.1343653</v>
      </c>
      <c r="G14" s="80">
        <f aca="true" t="shared" si="12" ref="G14:G25">B14*14.49/1050.67</f>
        <v>4.698427355877677</v>
      </c>
      <c r="H14" s="80">
        <f t="shared" si="3"/>
        <v>0</v>
      </c>
      <c r="I14" s="65">
        <f t="shared" si="4"/>
        <v>24.832792655877675</v>
      </c>
      <c r="J14" s="62">
        <v>1050.67</v>
      </c>
      <c r="K14" s="2">
        <f t="shared" si="5"/>
        <v>26091.070259751</v>
      </c>
      <c r="L14" s="53">
        <f t="shared" si="6"/>
        <v>340.683</v>
      </c>
      <c r="M14" s="186">
        <f t="shared" si="7"/>
        <v>76.584597</v>
      </c>
      <c r="N14" s="85">
        <v>100.534</v>
      </c>
      <c r="O14" s="20">
        <f t="shared" si="8"/>
        <v>105.23242735587769</v>
      </c>
      <c r="P14" s="65">
        <f t="shared" si="9"/>
        <v>80.39963470000001</v>
      </c>
      <c r="Q14" s="58">
        <v>3718.8</v>
      </c>
      <c r="R14" s="1">
        <f t="shared" si="10"/>
        <v>84473.48419024902</v>
      </c>
      <c r="S14" s="4">
        <f t="shared" si="11"/>
        <v>22.715253358677263</v>
      </c>
    </row>
    <row r="15" spans="1:19" ht="12.75">
      <c r="A15" s="61" t="s">
        <v>9</v>
      </c>
      <c r="B15" s="85">
        <v>551.964</v>
      </c>
      <c r="C15" s="59">
        <v>0</v>
      </c>
      <c r="D15" s="2">
        <f t="shared" si="0"/>
        <v>551.964</v>
      </c>
      <c r="E15" s="67">
        <v>0.0599</v>
      </c>
      <c r="F15" s="20">
        <f t="shared" si="1"/>
        <v>33.0626436</v>
      </c>
      <c r="G15" s="80">
        <f t="shared" si="12"/>
        <v>7.6122458621641425</v>
      </c>
      <c r="H15" s="80">
        <f t="shared" si="3"/>
        <v>0</v>
      </c>
      <c r="I15" s="65">
        <f t="shared" si="4"/>
        <v>40.674889462164145</v>
      </c>
      <c r="J15" s="62">
        <v>1050.67</v>
      </c>
      <c r="K15" s="2">
        <f t="shared" si="5"/>
        <v>42735.88611121201</v>
      </c>
      <c r="L15" s="53">
        <f t="shared" si="6"/>
        <v>551.964</v>
      </c>
      <c r="M15" s="186">
        <f t="shared" si="7"/>
        <v>77.425133</v>
      </c>
      <c r="N15" s="85">
        <v>233.364</v>
      </c>
      <c r="O15" s="20">
        <f t="shared" si="8"/>
        <v>240.97624586216415</v>
      </c>
      <c r="P15" s="65">
        <f t="shared" si="9"/>
        <v>200.3013564</v>
      </c>
      <c r="Q15" s="58">
        <v>9274.6</v>
      </c>
      <c r="R15" s="1">
        <f t="shared" si="10"/>
        <v>210450.62612878802</v>
      </c>
      <c r="S15" s="4">
        <f t="shared" si="11"/>
        <v>22.691073052076426</v>
      </c>
    </row>
    <row r="16" spans="1:19" ht="12.75">
      <c r="A16" s="61" t="s">
        <v>10</v>
      </c>
      <c r="B16" s="85">
        <v>481.954</v>
      </c>
      <c r="C16" s="59">
        <v>0</v>
      </c>
      <c r="D16" s="2">
        <f t="shared" si="0"/>
        <v>481.954</v>
      </c>
      <c r="E16" s="67">
        <v>0.0572</v>
      </c>
      <c r="F16" s="20">
        <f t="shared" si="1"/>
        <v>27.5677688</v>
      </c>
      <c r="G16" s="80">
        <f t="shared" si="12"/>
        <v>6.646723957094045</v>
      </c>
      <c r="H16" s="80">
        <f t="shared" si="3"/>
        <v>0</v>
      </c>
      <c r="I16" s="65">
        <f t="shared" si="4"/>
        <v>34.21449275709404</v>
      </c>
      <c r="J16" s="62">
        <v>1050.67</v>
      </c>
      <c r="K16" s="2">
        <f t="shared" si="5"/>
        <v>35948.141105096</v>
      </c>
      <c r="L16" s="53">
        <f t="shared" si="6"/>
        <v>481.954</v>
      </c>
      <c r="M16" s="186">
        <f t="shared" si="7"/>
        <v>74.588324</v>
      </c>
      <c r="N16" s="85">
        <v>116.908</v>
      </c>
      <c r="O16" s="20">
        <f t="shared" si="8"/>
        <v>123.55472395709404</v>
      </c>
      <c r="P16" s="65">
        <f t="shared" si="9"/>
        <v>89.3402312</v>
      </c>
      <c r="Q16" s="58">
        <v>5981.3</v>
      </c>
      <c r="R16" s="1">
        <f t="shared" si="10"/>
        <v>93867.10071490401</v>
      </c>
      <c r="S16" s="4">
        <f t="shared" si="11"/>
        <v>15.693427969656096</v>
      </c>
    </row>
    <row r="17" spans="1:19" ht="12.75">
      <c r="A17" s="61" t="s">
        <v>11</v>
      </c>
      <c r="B17" s="85">
        <v>316.758</v>
      </c>
      <c r="C17" s="59">
        <v>0</v>
      </c>
      <c r="D17" s="2">
        <f t="shared" si="0"/>
        <v>316.758</v>
      </c>
      <c r="E17" s="67">
        <v>0.0597</v>
      </c>
      <c r="F17" s="20">
        <f t="shared" si="1"/>
        <v>18.9104526</v>
      </c>
      <c r="G17" s="80">
        <f t="shared" si="12"/>
        <v>4.368472898245881</v>
      </c>
      <c r="H17" s="80">
        <f t="shared" si="3"/>
        <v>0</v>
      </c>
      <c r="I17" s="65">
        <f t="shared" si="4"/>
        <v>23.27892549824588</v>
      </c>
      <c r="J17" s="62">
        <v>1050.67</v>
      </c>
      <c r="K17" s="2">
        <f t="shared" si="5"/>
        <v>24458.468653242</v>
      </c>
      <c r="L17" s="53">
        <f t="shared" si="6"/>
        <v>316.758</v>
      </c>
      <c r="M17" s="186">
        <f t="shared" si="7"/>
        <v>77.214999</v>
      </c>
      <c r="N17" s="85">
        <v>88.841</v>
      </c>
      <c r="O17" s="20">
        <f t="shared" si="8"/>
        <v>93.20947289824588</v>
      </c>
      <c r="P17" s="65">
        <f t="shared" si="9"/>
        <v>69.9305474</v>
      </c>
      <c r="Q17" s="58">
        <v>3323</v>
      </c>
      <c r="R17" s="1">
        <f t="shared" si="10"/>
        <v>73473.928236758</v>
      </c>
      <c r="S17" s="4">
        <f t="shared" si="11"/>
        <v>22.1107217083232</v>
      </c>
    </row>
    <row r="18" spans="1:19" ht="12.75">
      <c r="A18" s="61" t="s">
        <v>12</v>
      </c>
      <c r="B18" s="85">
        <v>490.243</v>
      </c>
      <c r="C18" s="59">
        <v>0</v>
      </c>
      <c r="D18" s="2">
        <f t="shared" si="0"/>
        <v>490.243</v>
      </c>
      <c r="E18" s="67">
        <v>0.0596</v>
      </c>
      <c r="F18" s="20">
        <f t="shared" si="1"/>
        <v>29.2184828</v>
      </c>
      <c r="G18" s="80">
        <f t="shared" si="12"/>
        <v>6.761039213073563</v>
      </c>
      <c r="H18" s="80">
        <f t="shared" si="3"/>
        <v>0</v>
      </c>
      <c r="I18" s="65">
        <f t="shared" si="4"/>
        <v>35.97952201307356</v>
      </c>
      <c r="J18" s="62">
        <v>1050.67</v>
      </c>
      <c r="K18" s="2">
        <f t="shared" si="5"/>
        <v>37802.604393476</v>
      </c>
      <c r="L18" s="53">
        <f t="shared" si="6"/>
        <v>490.243</v>
      </c>
      <c r="M18" s="186">
        <f t="shared" si="7"/>
        <v>77.109932</v>
      </c>
      <c r="N18" s="85">
        <v>142.176</v>
      </c>
      <c r="O18" s="20">
        <f t="shared" si="8"/>
        <v>148.93703921307355</v>
      </c>
      <c r="P18" s="65">
        <f t="shared" si="9"/>
        <v>112.95751719999998</v>
      </c>
      <c r="Q18" s="58">
        <v>6355.1</v>
      </c>
      <c r="R18" s="1">
        <f t="shared" si="10"/>
        <v>118681.07459652399</v>
      </c>
      <c r="S18" s="4">
        <f t="shared" si="11"/>
        <v>18.674934241243093</v>
      </c>
    </row>
    <row r="19" spans="1:20" s="98" customFormat="1" ht="12.75">
      <c r="A19" s="61" t="s">
        <v>13</v>
      </c>
      <c r="B19" s="85">
        <v>727.909</v>
      </c>
      <c r="C19" s="59">
        <v>0</v>
      </c>
      <c r="D19" s="2">
        <f t="shared" si="0"/>
        <v>727.909</v>
      </c>
      <c r="E19" s="67">
        <v>0.0581</v>
      </c>
      <c r="F19" s="20">
        <f t="shared" si="1"/>
        <v>42.2915129</v>
      </c>
      <c r="G19" s="80">
        <f t="shared" si="12"/>
        <v>10.038738528748322</v>
      </c>
      <c r="H19" s="80">
        <f t="shared" si="3"/>
        <v>0</v>
      </c>
      <c r="I19" s="65">
        <f t="shared" si="4"/>
        <v>52.330251428748326</v>
      </c>
      <c r="J19" s="62">
        <v>1050.67</v>
      </c>
      <c r="K19" s="2">
        <f t="shared" si="5"/>
        <v>54981.825268643006</v>
      </c>
      <c r="L19" s="53">
        <f t="shared" si="6"/>
        <v>727.909</v>
      </c>
      <c r="M19" s="186">
        <f t="shared" si="7"/>
        <v>75.533927</v>
      </c>
      <c r="N19" s="85">
        <v>150.51</v>
      </c>
      <c r="O19" s="20">
        <f t="shared" si="8"/>
        <v>160.54873852874832</v>
      </c>
      <c r="P19" s="65">
        <f t="shared" si="9"/>
        <v>108.21848709999999</v>
      </c>
      <c r="Q19" s="96">
        <v>4183.8</v>
      </c>
      <c r="R19" s="97">
        <f t="shared" si="10"/>
        <v>113701.917841357</v>
      </c>
      <c r="S19" s="25">
        <f t="shared" si="11"/>
        <v>27.176709651837324</v>
      </c>
      <c r="T19"/>
    </row>
    <row r="20" spans="1:19" ht="12.75">
      <c r="A20" s="61" t="s">
        <v>14</v>
      </c>
      <c r="B20" s="85">
        <v>389.412</v>
      </c>
      <c r="C20" s="59">
        <v>0</v>
      </c>
      <c r="D20" s="2">
        <f t="shared" si="0"/>
        <v>389.412</v>
      </c>
      <c r="E20" s="67">
        <v>0.0585</v>
      </c>
      <c r="F20" s="20">
        <f t="shared" si="1"/>
        <v>22.780602</v>
      </c>
      <c r="G20" s="80">
        <f t="shared" si="12"/>
        <v>5.370458735854263</v>
      </c>
      <c r="H20" s="80">
        <f t="shared" si="3"/>
        <v>0</v>
      </c>
      <c r="I20" s="65">
        <f t="shared" si="4"/>
        <v>28.151060735854262</v>
      </c>
      <c r="J20" s="62">
        <v>1050.67</v>
      </c>
      <c r="K20" s="2">
        <f t="shared" si="5"/>
        <v>29577.47498334</v>
      </c>
      <c r="L20" s="53">
        <f t="shared" si="6"/>
        <v>389.412</v>
      </c>
      <c r="M20" s="186">
        <f t="shared" si="7"/>
        <v>75.954195</v>
      </c>
      <c r="N20" s="85">
        <v>100.546</v>
      </c>
      <c r="O20" s="20">
        <f t="shared" si="8"/>
        <v>105.91645873585426</v>
      </c>
      <c r="P20" s="65">
        <f t="shared" si="9"/>
        <v>77.765398</v>
      </c>
      <c r="Q20" s="58">
        <v>3908.1</v>
      </c>
      <c r="R20" s="1">
        <f t="shared" si="10"/>
        <v>81705.77071666002</v>
      </c>
      <c r="S20" s="4">
        <f t="shared" si="11"/>
        <v>20.90677585442031</v>
      </c>
    </row>
    <row r="21" spans="1:19" ht="12.75">
      <c r="A21" s="61" t="s">
        <v>15</v>
      </c>
      <c r="B21" s="85">
        <v>414.921</v>
      </c>
      <c r="C21" s="59">
        <v>0</v>
      </c>
      <c r="D21" s="2">
        <f t="shared" si="0"/>
        <v>414.921</v>
      </c>
      <c r="E21" s="67">
        <v>0.0615</v>
      </c>
      <c r="F21" s="20">
        <f t="shared" si="1"/>
        <v>25.5176415</v>
      </c>
      <c r="G21" s="80">
        <f t="shared" si="12"/>
        <v>5.722258454129269</v>
      </c>
      <c r="H21" s="80">
        <f t="shared" si="3"/>
        <v>0</v>
      </c>
      <c r="I21" s="65">
        <f t="shared" si="4"/>
        <v>31.23989995412927</v>
      </c>
      <c r="J21" s="62">
        <v>1050.67</v>
      </c>
      <c r="K21" s="2">
        <f t="shared" si="5"/>
        <v>32822.825684805</v>
      </c>
      <c r="L21" s="53">
        <f t="shared" si="6"/>
        <v>414.921</v>
      </c>
      <c r="M21" s="186">
        <f t="shared" si="7"/>
        <v>79.106205</v>
      </c>
      <c r="N21" s="85">
        <v>166.039</v>
      </c>
      <c r="O21" s="20">
        <f t="shared" si="8"/>
        <v>171.76125845412926</v>
      </c>
      <c r="P21" s="65">
        <f t="shared" si="9"/>
        <v>140.5213585</v>
      </c>
      <c r="Q21" s="58">
        <v>5485.5</v>
      </c>
      <c r="R21" s="1">
        <f t="shared" si="10"/>
        <v>147641.575735195</v>
      </c>
      <c r="S21" s="4">
        <f t="shared" si="11"/>
        <v>26.914880272572233</v>
      </c>
    </row>
    <row r="22" spans="1:19" ht="12.75">
      <c r="A22" s="61" t="s">
        <v>16</v>
      </c>
      <c r="B22" s="85">
        <v>463.027</v>
      </c>
      <c r="C22" s="59">
        <v>0</v>
      </c>
      <c r="D22" s="2">
        <f t="shared" si="0"/>
        <v>463.027</v>
      </c>
      <c r="E22" s="67">
        <v>0.0598</v>
      </c>
      <c r="F22" s="20">
        <f t="shared" si="1"/>
        <v>27.6890146</v>
      </c>
      <c r="G22" s="80">
        <f t="shared" si="12"/>
        <v>6.385697916567524</v>
      </c>
      <c r="H22" s="80">
        <f t="shared" si="3"/>
        <v>0</v>
      </c>
      <c r="I22" s="65">
        <f t="shared" si="4"/>
        <v>34.07471251656752</v>
      </c>
      <c r="J22" s="62">
        <v>1050.67</v>
      </c>
      <c r="K22" s="2">
        <f t="shared" si="5"/>
        <v>35801.278199782</v>
      </c>
      <c r="L22" s="53">
        <f t="shared" si="6"/>
        <v>463.027</v>
      </c>
      <c r="M22" s="186">
        <f t="shared" si="7"/>
        <v>77.320066</v>
      </c>
      <c r="N22" s="85">
        <v>126.703</v>
      </c>
      <c r="O22" s="20">
        <f t="shared" si="8"/>
        <v>133.08869791656753</v>
      </c>
      <c r="P22" s="65">
        <f t="shared" si="9"/>
        <v>99.0139854</v>
      </c>
      <c r="Q22" s="58">
        <v>4673.4</v>
      </c>
      <c r="R22" s="1">
        <f t="shared" si="10"/>
        <v>104031.024040218</v>
      </c>
      <c r="S22" s="4">
        <f t="shared" si="11"/>
        <v>22.260243942358457</v>
      </c>
    </row>
    <row r="23" spans="1:19" ht="12.75">
      <c r="A23" s="61" t="s">
        <v>42</v>
      </c>
      <c r="B23" s="85">
        <v>0</v>
      </c>
      <c r="C23" s="59">
        <v>350</v>
      </c>
      <c r="D23" s="2">
        <f t="shared" si="0"/>
        <v>350</v>
      </c>
      <c r="E23" s="67">
        <v>0.0595</v>
      </c>
      <c r="F23" s="20">
        <f t="shared" si="1"/>
        <v>20.825</v>
      </c>
      <c r="G23" s="80">
        <f t="shared" si="12"/>
        <v>0</v>
      </c>
      <c r="H23" s="80">
        <f t="shared" si="3"/>
        <v>4.657028372371915</v>
      </c>
      <c r="I23" s="65">
        <f t="shared" si="4"/>
        <v>25.482028372371914</v>
      </c>
      <c r="J23" s="62">
        <v>1050.67</v>
      </c>
      <c r="K23" s="2">
        <f t="shared" si="5"/>
        <v>26773.20275</v>
      </c>
      <c r="L23" s="53">
        <f t="shared" si="6"/>
        <v>350</v>
      </c>
      <c r="M23" s="186">
        <f t="shared" si="7"/>
        <v>76.494865</v>
      </c>
      <c r="N23" s="85">
        <v>113.08</v>
      </c>
      <c r="O23" s="20">
        <f t="shared" si="8"/>
        <v>117.73702837237191</v>
      </c>
      <c r="P23" s="65">
        <f t="shared" si="9"/>
        <v>92.255</v>
      </c>
      <c r="Q23" s="58">
        <v>6616.4</v>
      </c>
      <c r="R23" s="1">
        <f t="shared" si="10"/>
        <v>96929.56085000001</v>
      </c>
      <c r="S23" s="4">
        <f t="shared" si="11"/>
        <v>14.649894330753886</v>
      </c>
    </row>
    <row r="24" spans="1:19" ht="12.75">
      <c r="A24" s="61" t="s">
        <v>49</v>
      </c>
      <c r="B24" s="85">
        <v>326.757</v>
      </c>
      <c r="C24" s="59"/>
      <c r="D24" s="2">
        <f t="shared" si="0"/>
        <v>326.757</v>
      </c>
      <c r="E24" s="67">
        <v>0.0584</v>
      </c>
      <c r="F24" s="20">
        <f t="shared" si="1"/>
        <v>19.0826088</v>
      </c>
      <c r="G24" s="80">
        <f t="shared" si="12"/>
        <v>4.506371106056135</v>
      </c>
      <c r="H24" s="80">
        <f t="shared" si="3"/>
        <v>0</v>
      </c>
      <c r="I24" s="65">
        <f t="shared" si="4"/>
        <v>23.588979906056135</v>
      </c>
      <c r="J24" s="62">
        <v>1050.67</v>
      </c>
      <c r="K24" s="2">
        <f t="shared" si="5"/>
        <v>24784.233517896002</v>
      </c>
      <c r="L24" s="53">
        <f t="shared" si="6"/>
        <v>326.757</v>
      </c>
      <c r="M24" s="186">
        <f t="shared" si="7"/>
        <v>75.84912800000001</v>
      </c>
      <c r="N24" s="85">
        <v>23.283</v>
      </c>
      <c r="O24" s="20">
        <f t="shared" si="8"/>
        <v>27.789371106056137</v>
      </c>
      <c r="P24" s="65">
        <f t="shared" si="9"/>
        <v>4.200391200000002</v>
      </c>
      <c r="Q24" s="58">
        <v>663.9</v>
      </c>
      <c r="R24" s="1">
        <f t="shared" si="10"/>
        <v>4413.225022104002</v>
      </c>
      <c r="S24" s="4">
        <f t="shared" si="11"/>
        <v>6.647424344184369</v>
      </c>
    </row>
    <row r="25" spans="1:19" ht="12.75">
      <c r="A25" s="61" t="s">
        <v>97</v>
      </c>
      <c r="B25" s="85">
        <v>37.507</v>
      </c>
      <c r="C25" s="59">
        <v>80</v>
      </c>
      <c r="D25" s="2">
        <f t="shared" si="0"/>
        <v>117.507</v>
      </c>
      <c r="E25" s="67">
        <v>0.0619</v>
      </c>
      <c r="F25" s="20">
        <f t="shared" si="1"/>
        <v>7.2736833</v>
      </c>
      <c r="G25" s="80">
        <f t="shared" si="12"/>
        <v>0.5172665346873898</v>
      </c>
      <c r="H25" s="80">
        <f t="shared" si="3"/>
        <v>1.0644636279707234</v>
      </c>
      <c r="I25" s="65">
        <f t="shared" si="4"/>
        <v>8.855413462658113</v>
      </c>
      <c r="J25" s="62">
        <v>1050.67</v>
      </c>
      <c r="K25" s="2">
        <f t="shared" si="5"/>
        <v>9304.117262811</v>
      </c>
      <c r="L25" s="53">
        <f t="shared" si="6"/>
        <v>117.507</v>
      </c>
      <c r="M25" s="186">
        <f t="shared" si="7"/>
        <v>79.17925964249788</v>
      </c>
      <c r="N25" s="85">
        <v>55</v>
      </c>
      <c r="O25" s="20">
        <f t="shared" si="8"/>
        <v>56.58173016265811</v>
      </c>
      <c r="P25" s="65">
        <f t="shared" si="9"/>
        <v>47.7263167</v>
      </c>
      <c r="Q25" s="58">
        <v>2905.2</v>
      </c>
      <c r="R25" s="1">
        <f t="shared" si="10"/>
        <v>50144.609167189</v>
      </c>
      <c r="S25" s="4">
        <f t="shared" si="11"/>
        <v>17.260295045845037</v>
      </c>
    </row>
    <row r="26" spans="1:19" ht="12.75">
      <c r="A26" s="73" t="s">
        <v>17</v>
      </c>
      <c r="B26" s="88">
        <f aca="true" t="shared" si="13" ref="B26:I26">SUM(B6:B25)</f>
        <v>6754.013999999999</v>
      </c>
      <c r="C26" s="74">
        <f t="shared" si="13"/>
        <v>2279</v>
      </c>
      <c r="D26" s="87">
        <f t="shared" si="13"/>
        <v>9033.014</v>
      </c>
      <c r="E26" s="151">
        <f t="shared" si="13"/>
        <v>1.1874</v>
      </c>
      <c r="F26" s="75">
        <f t="shared" si="13"/>
        <v>535.0196027</v>
      </c>
      <c r="G26" s="81">
        <f t="shared" si="13"/>
        <v>93.14303906853581</v>
      </c>
      <c r="H26" s="81">
        <f t="shared" si="13"/>
        <v>30.323907601815986</v>
      </c>
      <c r="I26" s="76">
        <f t="shared" si="13"/>
        <v>658.4865493703518</v>
      </c>
      <c r="J26" s="62">
        <v>1050.67</v>
      </c>
      <c r="K26" s="73">
        <f>SUM(K6:K24)</f>
        <v>682582.6743732719</v>
      </c>
      <c r="L26" s="152">
        <f>SUM(L6:L25)</f>
        <v>9033.014</v>
      </c>
      <c r="M26" s="152">
        <f>SUM(M6:M25)</f>
        <v>1568.3791745285491</v>
      </c>
      <c r="N26" s="141">
        <f>SUM(N6:N25)</f>
        <v>2588.776</v>
      </c>
      <c r="O26" s="100">
        <f>SUM(SUM(O6:O25))</f>
        <v>2712.242946670351</v>
      </c>
      <c r="P26" s="101">
        <f>SUM(P6:P25)</f>
        <v>2053.7563973</v>
      </c>
      <c r="Q26" s="83">
        <f>Q6+Q7+Q8+Q9+Q10+Q11+Q12+Q13+Q14+Q15+Q16+Q17+Q18+Q19+Q20+Q21+Q22+Q23</f>
        <v>105007.7</v>
      </c>
      <c r="R26" s="78">
        <f t="shared" si="10"/>
        <v>2157820.2339511914</v>
      </c>
      <c r="S26" s="79">
        <f t="shared" si="11"/>
        <v>20.549161956229796</v>
      </c>
    </row>
    <row r="27" spans="1:19" s="42" customFormat="1" ht="11.25">
      <c r="A27" s="138"/>
      <c r="B27" s="158">
        <f>SUM(B6:B25)</f>
        <v>6754.013999999999</v>
      </c>
      <c r="C27" s="315">
        <f>SUM(C6:C25)</f>
        <v>2279</v>
      </c>
      <c r="D27" s="315"/>
      <c r="E27" s="159"/>
      <c r="F27" s="160"/>
      <c r="G27" s="160"/>
      <c r="H27" s="160"/>
      <c r="I27" s="161"/>
      <c r="J27" s="162"/>
      <c r="K27" s="138"/>
      <c r="L27" s="163"/>
      <c r="M27" s="164"/>
      <c r="N27" s="50">
        <f>SUM(N6:N25)</f>
        <v>2588.776</v>
      </c>
      <c r="O27" s="50"/>
      <c r="Q27" s="165"/>
      <c r="R27" s="138"/>
      <c r="S27" s="160"/>
    </row>
    <row r="28" spans="1:19" s="42" customFormat="1" ht="11.25">
      <c r="A28" s="138"/>
      <c r="B28" s="42">
        <f>B27*14.49</f>
        <v>97865.66286</v>
      </c>
      <c r="C28" s="316">
        <f>C27*13.89</f>
        <v>31655.31</v>
      </c>
      <c r="D28" s="316"/>
      <c r="E28" s="159"/>
      <c r="F28" s="160"/>
      <c r="G28" s="160"/>
      <c r="H28" s="160"/>
      <c r="I28" s="161"/>
      <c r="J28" s="162"/>
      <c r="K28" s="138"/>
      <c r="L28" s="163"/>
      <c r="M28" s="164"/>
      <c r="N28" s="48">
        <f>N27*1050.67</f>
        <v>2719949.27992</v>
      </c>
      <c r="O28" s="316">
        <f>O26*1050.67</f>
        <v>2849672.296778138</v>
      </c>
      <c r="P28" s="316"/>
      <c r="Q28" s="165"/>
      <c r="R28" s="138"/>
      <c r="S28" s="160"/>
    </row>
    <row r="29" spans="1:19" s="42" customFormat="1" ht="11.25">
      <c r="A29" s="138"/>
      <c r="C29" s="48"/>
      <c r="D29" s="48"/>
      <c r="E29" s="159"/>
      <c r="F29" s="160"/>
      <c r="G29" s="160"/>
      <c r="H29" s="160"/>
      <c r="I29" s="161"/>
      <c r="J29" s="162"/>
      <c r="K29" s="138"/>
      <c r="L29" s="163"/>
      <c r="M29" s="164"/>
      <c r="N29" s="48"/>
      <c r="O29" s="316">
        <f>B28+C28+N28</f>
        <v>2849470.25278</v>
      </c>
      <c r="P29" s="316"/>
      <c r="Q29" s="165"/>
      <c r="R29" s="138"/>
      <c r="S29" s="160"/>
    </row>
    <row r="30" spans="1:19" s="42" customFormat="1" ht="11.25">
      <c r="A30" s="138"/>
      <c r="C30" s="48"/>
      <c r="D30" s="48"/>
      <c r="E30" s="159"/>
      <c r="F30" s="160"/>
      <c r="G30" s="160"/>
      <c r="H30" s="160"/>
      <c r="I30" s="161"/>
      <c r="J30" s="162"/>
      <c r="K30" s="138"/>
      <c r="L30" s="163"/>
      <c r="M30" s="164"/>
      <c r="N30" s="48"/>
      <c r="O30" s="48"/>
      <c r="P30" s="48"/>
      <c r="Q30" s="165"/>
      <c r="R30" s="138"/>
      <c r="S30" s="160"/>
    </row>
    <row r="31" spans="1:19" s="42" customFormat="1" ht="11.25">
      <c r="A31" s="138"/>
      <c r="C31" s="48"/>
      <c r="D31" s="48"/>
      <c r="E31" s="159"/>
      <c r="F31" s="160"/>
      <c r="G31" s="160"/>
      <c r="H31" s="160"/>
      <c r="I31" s="161"/>
      <c r="J31" s="162"/>
      <c r="K31" s="138"/>
      <c r="L31" s="163"/>
      <c r="M31" s="164"/>
      <c r="N31" s="48"/>
      <c r="O31" s="48"/>
      <c r="P31" s="48"/>
      <c r="Q31" s="165"/>
      <c r="R31" s="138"/>
      <c r="S31" s="160"/>
    </row>
    <row r="32" spans="1:19" s="42" customFormat="1" ht="11.25">
      <c r="A32" s="138"/>
      <c r="C32" s="48"/>
      <c r="D32" s="48"/>
      <c r="E32" s="159"/>
      <c r="F32" s="160"/>
      <c r="G32" s="160"/>
      <c r="H32" s="160"/>
      <c r="I32" s="161"/>
      <c r="J32" s="162"/>
      <c r="K32" s="138"/>
      <c r="L32" s="163"/>
      <c r="M32" s="164"/>
      <c r="N32" s="48"/>
      <c r="O32" s="48"/>
      <c r="P32" s="48"/>
      <c r="Q32" s="165"/>
      <c r="R32" s="138"/>
      <c r="S32" s="160"/>
    </row>
    <row r="33" spans="1:19" s="42" customFormat="1" ht="11.25">
      <c r="A33" s="138"/>
      <c r="C33" s="48"/>
      <c r="D33" s="48"/>
      <c r="E33" s="159"/>
      <c r="F33" s="160"/>
      <c r="G33" s="160"/>
      <c r="H33" s="160"/>
      <c r="I33" s="161"/>
      <c r="J33" s="162"/>
      <c r="K33" s="138"/>
      <c r="L33" s="163"/>
      <c r="M33" s="164"/>
      <c r="N33" s="48"/>
      <c r="O33" s="48"/>
      <c r="P33" s="48"/>
      <c r="Q33" s="165"/>
      <c r="R33" s="138"/>
      <c r="S33" s="160"/>
    </row>
    <row r="34" spans="1:19" s="42" customFormat="1" ht="11.25">
      <c r="A34" s="138"/>
      <c r="C34" s="48"/>
      <c r="D34" s="48"/>
      <c r="E34" s="159"/>
      <c r="F34" s="160"/>
      <c r="G34" s="160"/>
      <c r="H34" s="160"/>
      <c r="I34" s="161"/>
      <c r="J34" s="162"/>
      <c r="K34" s="138"/>
      <c r="L34" s="163"/>
      <c r="M34" s="164"/>
      <c r="N34" s="48"/>
      <c r="O34" s="48"/>
      <c r="P34" s="48"/>
      <c r="Q34" s="165"/>
      <c r="R34" s="138"/>
      <c r="S34" s="160"/>
    </row>
    <row r="35" spans="1:19" s="42" customFormat="1" ht="11.25">
      <c r="A35" s="138"/>
      <c r="C35" s="48"/>
      <c r="D35" s="48"/>
      <c r="E35" s="159"/>
      <c r="F35" s="160"/>
      <c r="G35" s="160"/>
      <c r="H35" s="160"/>
      <c r="I35" s="161"/>
      <c r="J35" s="162"/>
      <c r="K35" s="138"/>
      <c r="L35" s="163"/>
      <c r="M35" s="164"/>
      <c r="N35" s="48"/>
      <c r="O35" s="48"/>
      <c r="P35" s="48"/>
      <c r="Q35" s="165"/>
      <c r="R35" s="138"/>
      <c r="S35" s="160"/>
    </row>
    <row r="36" spans="1:5" ht="12.75">
      <c r="A36" s="5" t="s">
        <v>137</v>
      </c>
      <c r="B36" s="9"/>
      <c r="C36" s="9"/>
      <c r="D36" s="5" t="s">
        <v>138</v>
      </c>
      <c r="E36" s="9"/>
    </row>
    <row r="37" ht="14.25" customHeight="1"/>
    <row r="38" ht="12.75">
      <c r="A38" t="s">
        <v>39</v>
      </c>
    </row>
    <row r="39" spans="1:19" s="42" customFormat="1" ht="11.25">
      <c r="A39" s="138"/>
      <c r="C39" s="48"/>
      <c r="D39" s="48"/>
      <c r="E39" s="159"/>
      <c r="F39" s="160"/>
      <c r="G39" s="160"/>
      <c r="H39" s="160"/>
      <c r="I39" s="161"/>
      <c r="J39" s="162"/>
      <c r="K39" s="138"/>
      <c r="L39" s="163"/>
      <c r="M39" s="164"/>
      <c r="N39" s="48"/>
      <c r="O39" s="48"/>
      <c r="P39" s="48"/>
      <c r="Q39" s="165"/>
      <c r="R39" s="138"/>
      <c r="S39" s="160"/>
    </row>
    <row r="40" spans="1:19" s="42" customFormat="1" ht="11.25">
      <c r="A40" s="138"/>
      <c r="C40" s="48"/>
      <c r="D40" s="48"/>
      <c r="E40" s="159"/>
      <c r="F40" s="160"/>
      <c r="G40" s="160"/>
      <c r="H40" s="160"/>
      <c r="I40" s="161"/>
      <c r="J40" s="162"/>
      <c r="K40" s="138"/>
      <c r="L40" s="163"/>
      <c r="M40" s="164"/>
      <c r="N40" s="48"/>
      <c r="O40" s="48"/>
      <c r="P40" s="48"/>
      <c r="Q40" s="165"/>
      <c r="R40" s="138"/>
      <c r="S40" s="160"/>
    </row>
    <row r="41" spans="1:19" s="42" customFormat="1" ht="11.25">
      <c r="A41" s="138"/>
      <c r="C41" s="48"/>
      <c r="D41" s="48"/>
      <c r="E41" s="159"/>
      <c r="F41" s="160"/>
      <c r="G41" s="160"/>
      <c r="H41" s="160"/>
      <c r="I41" s="161"/>
      <c r="J41" s="162"/>
      <c r="K41" s="138"/>
      <c r="L41" s="163"/>
      <c r="M41" s="164"/>
      <c r="N41" s="48"/>
      <c r="O41" s="48"/>
      <c r="P41" s="48"/>
      <c r="Q41" s="165"/>
      <c r="R41" s="138"/>
      <c r="S41" s="160"/>
    </row>
    <row r="42" spans="1:19" s="42" customFormat="1" ht="11.25">
      <c r="A42" s="138"/>
      <c r="C42" s="48"/>
      <c r="D42" s="48"/>
      <c r="E42" s="159"/>
      <c r="F42" s="160"/>
      <c r="G42" s="160"/>
      <c r="H42" s="160"/>
      <c r="I42" s="161"/>
      <c r="J42" s="162"/>
      <c r="K42" s="138"/>
      <c r="L42" s="163"/>
      <c r="M42" s="164"/>
      <c r="N42" s="48"/>
      <c r="O42" s="48"/>
      <c r="P42" s="48"/>
      <c r="Q42" s="165"/>
      <c r="R42" s="138"/>
      <c r="S42" s="160"/>
    </row>
    <row r="43" spans="1:19" s="42" customFormat="1" ht="11.25">
      <c r="A43" s="138"/>
      <c r="C43" s="48"/>
      <c r="D43" s="48"/>
      <c r="E43" s="159"/>
      <c r="F43" s="160"/>
      <c r="G43" s="160"/>
      <c r="H43" s="160"/>
      <c r="I43" s="161"/>
      <c r="J43" s="162"/>
      <c r="K43" s="138"/>
      <c r="L43" s="163"/>
      <c r="M43" s="164"/>
      <c r="N43" s="48"/>
      <c r="O43" s="48"/>
      <c r="P43" s="48"/>
      <c r="Q43" s="165"/>
      <c r="R43" s="138"/>
      <c r="S43" s="160"/>
    </row>
    <row r="44" spans="1:19" s="42" customFormat="1" ht="11.25">
      <c r="A44" s="138"/>
      <c r="C44" s="48"/>
      <c r="D44" s="48"/>
      <c r="E44" s="159"/>
      <c r="F44" s="160"/>
      <c r="G44" s="160"/>
      <c r="H44" s="160"/>
      <c r="I44" s="161"/>
      <c r="J44" s="162"/>
      <c r="K44" s="138"/>
      <c r="L44" s="163"/>
      <c r="M44" s="164"/>
      <c r="N44" s="48"/>
      <c r="O44" s="48"/>
      <c r="P44" s="48"/>
      <c r="Q44" s="165"/>
      <c r="R44" s="138"/>
      <c r="S44" s="160"/>
    </row>
    <row r="45" spans="1:19" s="42" customFormat="1" ht="11.25">
      <c r="A45" s="138"/>
      <c r="C45" s="48"/>
      <c r="D45" s="48"/>
      <c r="E45" s="159"/>
      <c r="F45" s="160"/>
      <c r="G45" s="160"/>
      <c r="H45" s="160"/>
      <c r="I45" s="161"/>
      <c r="J45" s="162"/>
      <c r="K45" s="138"/>
      <c r="L45" s="163"/>
      <c r="M45" s="164"/>
      <c r="N45" s="48"/>
      <c r="O45" s="48"/>
      <c r="P45" s="48"/>
      <c r="Q45" s="165"/>
      <c r="R45" s="138"/>
      <c r="S45" s="160"/>
    </row>
    <row r="46" spans="1:19" ht="37.5" customHeight="1">
      <c r="A46" s="63" t="s">
        <v>136</v>
      </c>
      <c r="B46" s="63"/>
      <c r="C46" s="63"/>
      <c r="D46" s="63"/>
      <c r="E46" s="63"/>
      <c r="F46" s="64"/>
      <c r="G46" s="16"/>
      <c r="H46" s="279" t="s">
        <v>158</v>
      </c>
      <c r="I46" s="279"/>
      <c r="J46" s="15">
        <v>2014</v>
      </c>
      <c r="K46" s="16"/>
      <c r="L46" s="16" t="s">
        <v>120</v>
      </c>
      <c r="M46" s="16"/>
      <c r="N46" s="16"/>
      <c r="O46" s="16"/>
      <c r="P46" s="16"/>
      <c r="Q46" s="16" t="s">
        <v>119</v>
      </c>
      <c r="R46" s="16"/>
      <c r="S46" s="16"/>
    </row>
    <row r="47" spans="1:19" s="42" customFormat="1" ht="39.75" customHeight="1">
      <c r="A47" s="317" t="s">
        <v>162</v>
      </c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</row>
    <row r="48" spans="1:19" ht="10.5" customHeight="1">
      <c r="A48" s="63"/>
      <c r="B48" s="63"/>
      <c r="C48" s="63"/>
      <c r="D48" s="63"/>
      <c r="E48" s="63"/>
      <c r="F48" s="64"/>
      <c r="G48" s="16"/>
      <c r="H48" s="155"/>
      <c r="I48" s="155"/>
      <c r="J48" s="15"/>
      <c r="K48" s="16"/>
      <c r="L48" s="16"/>
      <c r="M48" s="16"/>
      <c r="N48" s="16"/>
      <c r="O48" s="16"/>
      <c r="P48" s="16"/>
      <c r="Q48" s="16"/>
      <c r="R48" s="16"/>
      <c r="S48" s="16"/>
    </row>
    <row r="49" spans="1:16" ht="12.75" customHeight="1">
      <c r="A49" t="s">
        <v>160</v>
      </c>
      <c r="B49" s="10" t="s">
        <v>149</v>
      </c>
      <c r="D49" s="56"/>
      <c r="E49" s="56"/>
      <c r="F49" s="56"/>
      <c r="G49" s="156" t="s">
        <v>150</v>
      </c>
      <c r="H49" s="157"/>
      <c r="I49" s="157"/>
      <c r="J49" s="157"/>
      <c r="K49" s="56"/>
      <c r="L49" s="56"/>
      <c r="M49" s="90"/>
      <c r="N49" s="10"/>
      <c r="O49" s="173"/>
      <c r="P49" s="173"/>
    </row>
    <row r="50" spans="1:19" ht="25.5" customHeight="1">
      <c r="A50" s="252" t="s">
        <v>116</v>
      </c>
      <c r="B50" s="270" t="s">
        <v>126</v>
      </c>
      <c r="C50" s="270" t="s">
        <v>127</v>
      </c>
      <c r="D50" s="272" t="s">
        <v>104</v>
      </c>
      <c r="E50" s="270" t="s">
        <v>100</v>
      </c>
      <c r="F50" s="272" t="s">
        <v>128</v>
      </c>
      <c r="G50" s="268" t="s">
        <v>140</v>
      </c>
      <c r="H50" s="268" t="s">
        <v>131</v>
      </c>
      <c r="I50" s="276" t="s">
        <v>132</v>
      </c>
      <c r="J50" s="278" t="s">
        <v>165</v>
      </c>
      <c r="K50" s="272" t="s">
        <v>124</v>
      </c>
      <c r="L50" s="272" t="s">
        <v>129</v>
      </c>
      <c r="M50" s="285" t="s">
        <v>193</v>
      </c>
      <c r="N50" s="270" t="s">
        <v>133</v>
      </c>
      <c r="O50" s="272" t="s">
        <v>142</v>
      </c>
      <c r="P50" s="274" t="s">
        <v>135</v>
      </c>
      <c r="Q50" s="278" t="s">
        <v>123</v>
      </c>
      <c r="R50" s="266" t="s">
        <v>115</v>
      </c>
      <c r="S50" s="243" t="s">
        <v>117</v>
      </c>
    </row>
    <row r="51" spans="1:19" ht="70.5" customHeight="1">
      <c r="A51" s="253"/>
      <c r="B51" s="271"/>
      <c r="C51" s="271"/>
      <c r="D51" s="273"/>
      <c r="E51" s="271"/>
      <c r="F51" s="273"/>
      <c r="G51" s="242"/>
      <c r="H51" s="242"/>
      <c r="I51" s="277"/>
      <c r="J51" s="242"/>
      <c r="K51" s="273"/>
      <c r="L51" s="273"/>
      <c r="M51" s="286"/>
      <c r="N51" s="271"/>
      <c r="O51" s="273"/>
      <c r="P51" s="275"/>
      <c r="Q51" s="242"/>
      <c r="R51" s="267"/>
      <c r="S51" s="240"/>
    </row>
    <row r="52" spans="1:19" s="72" customFormat="1" ht="10.5" customHeight="1">
      <c r="A52" s="68"/>
      <c r="B52" s="69">
        <v>1</v>
      </c>
      <c r="C52" s="69">
        <v>2</v>
      </c>
      <c r="D52" s="69">
        <v>3</v>
      </c>
      <c r="E52" s="69">
        <v>4</v>
      </c>
      <c r="F52" s="69">
        <v>5</v>
      </c>
      <c r="G52" s="69">
        <v>6</v>
      </c>
      <c r="H52" s="69">
        <v>7</v>
      </c>
      <c r="I52" s="69">
        <v>8</v>
      </c>
      <c r="J52" s="69">
        <v>9</v>
      </c>
      <c r="K52" s="69">
        <v>10</v>
      </c>
      <c r="L52" s="69">
        <v>11</v>
      </c>
      <c r="M52" s="105">
        <v>12</v>
      </c>
      <c r="N52" s="69">
        <v>13</v>
      </c>
      <c r="O52" s="69">
        <v>14</v>
      </c>
      <c r="P52" s="69">
        <v>15</v>
      </c>
      <c r="Q52" s="69">
        <v>16</v>
      </c>
      <c r="R52" s="69">
        <v>17</v>
      </c>
      <c r="S52" s="69">
        <v>18</v>
      </c>
    </row>
    <row r="53" spans="1:19" ht="12.75">
      <c r="A53" s="61" t="s">
        <v>147</v>
      </c>
      <c r="B53" s="85">
        <v>329.405</v>
      </c>
      <c r="C53" s="59">
        <v>0</v>
      </c>
      <c r="D53" s="2">
        <f aca="true" t="shared" si="14" ref="D53:D58">B53+C53</f>
        <v>329.405</v>
      </c>
      <c r="E53" s="67">
        <v>0.0546</v>
      </c>
      <c r="F53" s="20">
        <f aca="true" t="shared" si="15" ref="F53:F58">D53*E53</f>
        <v>17.985513</v>
      </c>
      <c r="G53" s="80">
        <f>B53*14.49/1050.67</f>
        <v>4.542890203394024</v>
      </c>
      <c r="H53" s="80">
        <f>C53*13.98/1050.67</f>
        <v>0</v>
      </c>
      <c r="I53" s="65">
        <f>F53+G53+H53</f>
        <v>22.528403203394024</v>
      </c>
      <c r="J53" s="80">
        <v>1199.03</v>
      </c>
      <c r="K53" s="2">
        <f>I53*J53</f>
        <v>27012.231292965535</v>
      </c>
      <c r="L53" s="53">
        <f>D53</f>
        <v>329.405</v>
      </c>
      <c r="M53" s="186">
        <f>K53/L53</f>
        <v>82.00310041731467</v>
      </c>
      <c r="N53" s="85">
        <v>34.823</v>
      </c>
      <c r="O53" s="20">
        <f>G53+H53+N53</f>
        <v>39.365890203394024</v>
      </c>
      <c r="P53" s="65">
        <f>O53-I53</f>
        <v>16.837487</v>
      </c>
      <c r="Q53" s="58">
        <v>3500.4</v>
      </c>
      <c r="R53" s="1">
        <f>P53*J53</f>
        <v>20188.652037609998</v>
      </c>
      <c r="S53" s="4">
        <f>R53/Q53</f>
        <v>5.767527150499942</v>
      </c>
    </row>
    <row r="54" spans="1:19" ht="12.75">
      <c r="A54" s="61" t="s">
        <v>148</v>
      </c>
      <c r="B54" s="85">
        <v>286.323</v>
      </c>
      <c r="C54" s="59">
        <v>0</v>
      </c>
      <c r="D54" s="2">
        <f t="shared" si="14"/>
        <v>286.323</v>
      </c>
      <c r="E54" s="67">
        <v>0.052</v>
      </c>
      <c r="F54" s="20">
        <f t="shared" si="15"/>
        <v>14.888795999999997</v>
      </c>
      <c r="G54" s="80">
        <f>B54*14.49/1050.67</f>
        <v>3.948737729258473</v>
      </c>
      <c r="H54" s="80">
        <f>C54*13.98/1050.67</f>
        <v>0</v>
      </c>
      <c r="I54" s="65">
        <f>F54+G54+H54</f>
        <v>18.83753372925847</v>
      </c>
      <c r="J54" s="80">
        <v>1199.03</v>
      </c>
      <c r="K54" s="2">
        <f>I54*J54</f>
        <v>22586.768067392783</v>
      </c>
      <c r="L54" s="53">
        <f>D54</f>
        <v>286.323</v>
      </c>
      <c r="M54" s="186">
        <f>K54/L54</f>
        <v>78.88562241731465</v>
      </c>
      <c r="N54" s="85">
        <v>29.292</v>
      </c>
      <c r="O54" s="20">
        <f>G54+H54+N54</f>
        <v>33.24073772925848</v>
      </c>
      <c r="P54" s="65">
        <f>O54-I54</f>
        <v>14.403204000000006</v>
      </c>
      <c r="Q54" s="58">
        <v>3447.5</v>
      </c>
      <c r="R54" s="1">
        <f>P54*J54</f>
        <v>17269.873692120007</v>
      </c>
      <c r="S54" s="4">
        <f>R54/Q54</f>
        <v>5.009390483573606</v>
      </c>
    </row>
    <row r="55" spans="1:19" ht="12.75">
      <c r="A55" s="61" t="s">
        <v>159</v>
      </c>
      <c r="B55" s="85">
        <v>77.02</v>
      </c>
      <c r="C55" s="59">
        <v>0</v>
      </c>
      <c r="D55" s="2">
        <f t="shared" si="14"/>
        <v>77.02</v>
      </c>
      <c r="E55" s="67">
        <v>0.053</v>
      </c>
      <c r="F55" s="20">
        <f t="shared" si="15"/>
        <v>4.082059999999999</v>
      </c>
      <c r="G55" s="80">
        <f>B55*14.49/1050.67</f>
        <v>1.0621982163762171</v>
      </c>
      <c r="H55" s="80">
        <f>C55*13.98/1050.67</f>
        <v>0</v>
      </c>
      <c r="I55" s="65">
        <f>F55+G55+H55</f>
        <v>5.144258216376216</v>
      </c>
      <c r="J55" s="80">
        <v>1199.03</v>
      </c>
      <c r="K55" s="2">
        <f>I55*J55</f>
        <v>6168.119929181575</v>
      </c>
      <c r="L55" s="53">
        <f>D55</f>
        <v>77.02</v>
      </c>
      <c r="M55" s="186">
        <f>K55/L55</f>
        <v>80.08465241731466</v>
      </c>
      <c r="N55" s="85">
        <v>10.375</v>
      </c>
      <c r="O55" s="20">
        <f>G55+H55+N55</f>
        <v>11.437198216376217</v>
      </c>
      <c r="P55" s="65">
        <f>O55-I55</f>
        <v>6.292940000000001</v>
      </c>
      <c r="Q55" s="58">
        <v>1478.3</v>
      </c>
      <c r="R55" s="1">
        <f>P55*J55</f>
        <v>7545.423848200001</v>
      </c>
      <c r="S55" s="4">
        <f>R55/Q55</f>
        <v>5.104122199959414</v>
      </c>
    </row>
    <row r="56" spans="1:19" ht="12.75">
      <c r="A56" s="61" t="s">
        <v>147</v>
      </c>
      <c r="B56" s="304">
        <v>329.405</v>
      </c>
      <c r="C56" s="305"/>
      <c r="D56" s="2">
        <f t="shared" si="14"/>
        <v>329.405</v>
      </c>
      <c r="E56" s="67">
        <v>0.0546</v>
      </c>
      <c r="F56" s="20">
        <f t="shared" si="15"/>
        <v>17.985513</v>
      </c>
      <c r="G56" s="80">
        <v>1199.03</v>
      </c>
      <c r="H56" s="80">
        <v>12.89</v>
      </c>
      <c r="I56" s="313">
        <f>B56*12.89/1199.03</f>
        <v>3.5412211954663357</v>
      </c>
      <c r="J56" s="314"/>
      <c r="K56" s="54">
        <v>34.823</v>
      </c>
      <c r="L56" s="185">
        <f>K56+I56</f>
        <v>38.364221195466335</v>
      </c>
      <c r="M56" s="2">
        <f>L56*G56</f>
        <v>45999.852139999995</v>
      </c>
      <c r="N56" s="21">
        <f>M56/D56</f>
        <v>139.6452759976321</v>
      </c>
      <c r="O56" s="6"/>
      <c r="P56" s="174"/>
      <c r="Q56" s="137"/>
      <c r="R56" s="137"/>
      <c r="S56" s="175"/>
    </row>
    <row r="57" spans="1:19" ht="12.75">
      <c r="A57" s="61" t="s">
        <v>148</v>
      </c>
      <c r="B57" s="304">
        <v>286.322</v>
      </c>
      <c r="C57" s="305"/>
      <c r="D57" s="2">
        <f t="shared" si="14"/>
        <v>286.322</v>
      </c>
      <c r="E57" s="67">
        <v>0.052</v>
      </c>
      <c r="F57" s="20">
        <f t="shared" si="15"/>
        <v>14.888743999999999</v>
      </c>
      <c r="G57" s="80">
        <v>1199.03</v>
      </c>
      <c r="H57" s="80">
        <v>12.89</v>
      </c>
      <c r="I57" s="313">
        <f>B57*12.89/1199.03</f>
        <v>3.0780635847309914</v>
      </c>
      <c r="J57" s="314"/>
      <c r="K57" s="54">
        <v>29.292</v>
      </c>
      <c r="L57" s="185">
        <f>K57+I57</f>
        <v>32.37006358473099</v>
      </c>
      <c r="M57" s="2">
        <f>L57*G57</f>
        <v>38812.67734</v>
      </c>
      <c r="N57" s="21">
        <f>M57/D57</f>
        <v>135.55604298656758</v>
      </c>
      <c r="O57" s="6"/>
      <c r="P57" s="174"/>
      <c r="Q57" s="137"/>
      <c r="R57" s="137"/>
      <c r="S57" s="175"/>
    </row>
    <row r="58" spans="1:19" ht="12.75">
      <c r="A58" s="61" t="s">
        <v>159</v>
      </c>
      <c r="B58" s="304">
        <v>77</v>
      </c>
      <c r="C58" s="305"/>
      <c r="D58" s="2">
        <f t="shared" si="14"/>
        <v>77</v>
      </c>
      <c r="E58" s="67">
        <v>0.052</v>
      </c>
      <c r="F58" s="20">
        <f t="shared" si="15"/>
        <v>4.004</v>
      </c>
      <c r="G58" s="80">
        <v>1199.03</v>
      </c>
      <c r="H58" s="80">
        <v>12.89</v>
      </c>
      <c r="I58" s="313">
        <f>B58*12.89/1199.03</f>
        <v>0.827777453441532</v>
      </c>
      <c r="J58" s="314"/>
      <c r="K58" s="54">
        <v>10.375</v>
      </c>
      <c r="L58" s="185">
        <f>K58+I58</f>
        <v>11.202777453441533</v>
      </c>
      <c r="M58" s="2">
        <f>L58*G58</f>
        <v>13432.466250000001</v>
      </c>
      <c r="N58" s="21">
        <f>M58/D58</f>
        <v>174.44761363636366</v>
      </c>
      <c r="O58" s="6"/>
      <c r="P58" s="174"/>
      <c r="Q58" s="137"/>
      <c r="R58" s="137"/>
      <c r="S58" s="175"/>
    </row>
    <row r="59" spans="1:19" ht="12.75">
      <c r="A59" s="41" t="s">
        <v>89</v>
      </c>
      <c r="B59" s="292">
        <f>SUM(B56:C58)</f>
        <v>692.727</v>
      </c>
      <c r="C59" s="293"/>
      <c r="D59" s="179">
        <f>SUM(D56:D58)</f>
        <v>692.727</v>
      </c>
      <c r="E59" s="179"/>
      <c r="F59" s="179"/>
      <c r="G59" s="179"/>
      <c r="H59" s="179"/>
      <c r="I59" s="300">
        <f>SUM(I56:I58)</f>
        <v>7.447062233638859</v>
      </c>
      <c r="J59" s="301"/>
      <c r="K59" s="179">
        <f>SUM(K56:K58)</f>
        <v>74.49000000000001</v>
      </c>
      <c r="L59" s="179">
        <f>SUM(L56:L58)</f>
        <v>81.93706223363885</v>
      </c>
      <c r="M59" s="179">
        <f>SUM(M56:M58)</f>
        <v>98244.99573</v>
      </c>
      <c r="N59" s="182"/>
      <c r="O59" s="187"/>
      <c r="S59" s="177"/>
    </row>
    <row r="60" spans="1:19" s="42" customFormat="1" ht="11.25">
      <c r="A60" s="166"/>
      <c r="B60" s="158">
        <f>SUM(B56:B58)</f>
        <v>692.727</v>
      </c>
      <c r="C60" s="167"/>
      <c r="D60" s="166"/>
      <c r="E60" s="167"/>
      <c r="F60" s="167"/>
      <c r="I60" s="167"/>
      <c r="J60" s="168"/>
      <c r="K60" s="50">
        <f>SUM(K56:K58)</f>
        <v>74.49000000000001</v>
      </c>
      <c r="L60" s="50">
        <f>SUM(L56:L58)</f>
        <v>81.93706223363885</v>
      </c>
      <c r="N60" s="167"/>
      <c r="O60" s="188"/>
      <c r="S60" s="50"/>
    </row>
    <row r="61" spans="2:19" s="42" customFormat="1" ht="11.25">
      <c r="B61" s="42">
        <f>B60*12.89</f>
        <v>8929.25103</v>
      </c>
      <c r="I61" s="166"/>
      <c r="K61" s="48">
        <f>K60*1199.03</f>
        <v>89315.74470000001</v>
      </c>
      <c r="L61" s="48">
        <f>L60*1199.03</f>
        <v>98244.99573</v>
      </c>
      <c r="M61" s="48"/>
      <c r="O61" s="188"/>
      <c r="S61" s="50"/>
    </row>
    <row r="62" spans="11:19" s="42" customFormat="1" ht="11.25">
      <c r="K62" s="48"/>
      <c r="L62" s="48">
        <f>B61+K61</f>
        <v>98244.99573000001</v>
      </c>
      <c r="M62" s="48"/>
      <c r="O62" s="166"/>
      <c r="S62" s="50"/>
    </row>
    <row r="63" spans="1:19" ht="63" customHeight="1">
      <c r="A63" s="63" t="s">
        <v>163</v>
      </c>
      <c r="B63" s="63"/>
      <c r="C63" s="63"/>
      <c r="D63" s="63"/>
      <c r="E63" s="63"/>
      <c r="F63" s="64"/>
      <c r="G63" s="16"/>
      <c r="H63" s="279" t="s">
        <v>158</v>
      </c>
      <c r="I63" s="279"/>
      <c r="J63" s="15">
        <v>2014</v>
      </c>
      <c r="K63" s="16"/>
      <c r="L63" s="16"/>
      <c r="M63" s="16"/>
      <c r="N63" s="16"/>
      <c r="O63" s="16"/>
      <c r="P63" s="16"/>
      <c r="Q63" s="16"/>
      <c r="R63" s="16"/>
      <c r="S63" s="16"/>
    </row>
    <row r="64" ht="12.75">
      <c r="A64" t="s">
        <v>161</v>
      </c>
    </row>
    <row r="65" spans="1:19" ht="25.5" customHeight="1">
      <c r="A65" s="252" t="s">
        <v>116</v>
      </c>
      <c r="B65" s="307" t="s">
        <v>174</v>
      </c>
      <c r="C65" s="308"/>
      <c r="D65" s="272" t="s">
        <v>172</v>
      </c>
      <c r="E65" s="278" t="s">
        <v>166</v>
      </c>
      <c r="F65" s="278" t="s">
        <v>169</v>
      </c>
      <c r="G65" s="284" t="s">
        <v>175</v>
      </c>
      <c r="H65" s="276" t="s">
        <v>170</v>
      </c>
      <c r="I65" s="282" t="s">
        <v>133</v>
      </c>
      <c r="J65" s="302" t="s">
        <v>168</v>
      </c>
      <c r="K65" s="294" t="s">
        <v>164</v>
      </c>
      <c r="L65" s="295"/>
      <c r="M65" s="266" t="s">
        <v>115</v>
      </c>
      <c r="N65" s="243" t="s">
        <v>117</v>
      </c>
      <c r="S65" s="177"/>
    </row>
    <row r="66" spans="1:19" ht="70.5" customHeight="1">
      <c r="A66" s="253"/>
      <c r="B66" s="309"/>
      <c r="C66" s="310"/>
      <c r="D66" s="273"/>
      <c r="E66" s="242"/>
      <c r="F66" s="242"/>
      <c r="G66" s="283"/>
      <c r="H66" s="277"/>
      <c r="I66" s="306"/>
      <c r="J66" s="303"/>
      <c r="K66" s="296"/>
      <c r="L66" s="297"/>
      <c r="M66" s="267"/>
      <c r="N66" s="240"/>
      <c r="S66" s="177"/>
    </row>
    <row r="67" spans="1:19" s="72" customFormat="1" ht="10.5" customHeight="1">
      <c r="A67" s="68"/>
      <c r="B67" s="311">
        <v>1</v>
      </c>
      <c r="C67" s="312"/>
      <c r="D67" s="69">
        <v>2</v>
      </c>
      <c r="E67" s="70">
        <v>3</v>
      </c>
      <c r="F67" s="70">
        <v>4</v>
      </c>
      <c r="G67" s="69">
        <v>5</v>
      </c>
      <c r="H67" s="69">
        <v>6</v>
      </c>
      <c r="I67" s="69">
        <v>7</v>
      </c>
      <c r="J67" s="184">
        <v>8</v>
      </c>
      <c r="K67" s="69"/>
      <c r="L67" s="69">
        <v>10</v>
      </c>
      <c r="M67" s="69">
        <v>11</v>
      </c>
      <c r="N67" s="69">
        <v>12</v>
      </c>
      <c r="S67" s="178"/>
    </row>
    <row r="68" spans="1:19" ht="12.75">
      <c r="A68" s="61" t="s">
        <v>147</v>
      </c>
      <c r="B68" s="304">
        <v>11.226</v>
      </c>
      <c r="C68" s="305"/>
      <c r="D68" s="2">
        <f>B68+C68</f>
        <v>11.226</v>
      </c>
      <c r="E68" s="80">
        <v>1199.03</v>
      </c>
      <c r="F68" s="80">
        <v>12.89</v>
      </c>
      <c r="G68" s="117">
        <f>B68*F68/E68</f>
        <v>0.12068350249785245</v>
      </c>
      <c r="H68" s="20">
        <f>G68</f>
        <v>0.12068350249785245</v>
      </c>
      <c r="I68" s="54">
        <v>40.556</v>
      </c>
      <c r="J68" s="170">
        <f>I68+H68</f>
        <v>40.67668350249785</v>
      </c>
      <c r="K68" s="298">
        <v>3500.4</v>
      </c>
      <c r="L68" s="299"/>
      <c r="M68" s="1">
        <f>J68*E68</f>
        <v>48772.563819999996</v>
      </c>
      <c r="N68" s="4">
        <f>M68/K68</f>
        <v>13.933425842760826</v>
      </c>
      <c r="S68" s="177"/>
    </row>
    <row r="69" spans="1:19" ht="12.75">
      <c r="A69" s="61" t="s">
        <v>148</v>
      </c>
      <c r="B69" s="304">
        <v>92.231</v>
      </c>
      <c r="C69" s="305"/>
      <c r="D69" s="2">
        <f>B69+C69</f>
        <v>92.231</v>
      </c>
      <c r="E69" s="80">
        <v>1199.03</v>
      </c>
      <c r="F69" s="80">
        <v>12.89</v>
      </c>
      <c r="G69" s="117">
        <f>B69*F69/E69</f>
        <v>0.9915161338748822</v>
      </c>
      <c r="H69" s="20">
        <f>G69</f>
        <v>0.9915161338748822</v>
      </c>
      <c r="I69" s="54">
        <v>39.25</v>
      </c>
      <c r="J69" s="170">
        <f>I69+H69</f>
        <v>40.24151613387488</v>
      </c>
      <c r="K69" s="298">
        <v>3447.5</v>
      </c>
      <c r="L69" s="299"/>
      <c r="M69" s="1">
        <f>J69*E69</f>
        <v>48250.78509</v>
      </c>
      <c r="N69" s="4">
        <f>M69/K69</f>
        <v>13.995876748368381</v>
      </c>
      <c r="S69" s="177"/>
    </row>
    <row r="70" spans="1:19" ht="12.75">
      <c r="A70" s="61" t="s">
        <v>159</v>
      </c>
      <c r="B70" s="304">
        <v>11.228</v>
      </c>
      <c r="C70" s="305"/>
      <c r="D70" s="2">
        <f>B70+C70</f>
        <v>11.228</v>
      </c>
      <c r="E70" s="80">
        <v>1199.03</v>
      </c>
      <c r="F70" s="80">
        <v>12.89</v>
      </c>
      <c r="G70" s="117">
        <f>B70*F70/E70</f>
        <v>0.12070500321092885</v>
      </c>
      <c r="H70" s="20">
        <f>G70</f>
        <v>0.12070500321092885</v>
      </c>
      <c r="I70" s="54">
        <v>24.556</v>
      </c>
      <c r="J70" s="170">
        <f>I70+H70</f>
        <v>24.67670500321093</v>
      </c>
      <c r="K70" s="298">
        <v>1478.3</v>
      </c>
      <c r="L70" s="299"/>
      <c r="M70" s="1">
        <f>J70*E70</f>
        <v>29588.1096</v>
      </c>
      <c r="N70" s="4">
        <f>M70/K70</f>
        <v>20.01495609822093</v>
      </c>
      <c r="S70" s="177"/>
    </row>
    <row r="71" spans="1:19" ht="12.75">
      <c r="A71" s="41" t="s">
        <v>89</v>
      </c>
      <c r="B71" s="292">
        <f>SUM(B68:C70)</f>
        <v>114.68499999999999</v>
      </c>
      <c r="C71" s="293"/>
      <c r="D71" s="179">
        <f>SUM(D68:D70)</f>
        <v>114.68499999999999</v>
      </c>
      <c r="E71" s="179"/>
      <c r="F71" s="179"/>
      <c r="G71" s="179">
        <f>SUM(G68:G70)</f>
        <v>1.2329046395836636</v>
      </c>
      <c r="H71" s="180">
        <f>SUM(H68:H70)</f>
        <v>1.2329046395836636</v>
      </c>
      <c r="I71" s="179">
        <f>SUM(I68:I70)</f>
        <v>104.362</v>
      </c>
      <c r="J71" s="179">
        <f>SUM(J68:J70)</f>
        <v>105.59490463958366</v>
      </c>
      <c r="K71" s="300">
        <f>SUM(K68:L70)</f>
        <v>8426.199999999999</v>
      </c>
      <c r="L71" s="301"/>
      <c r="M71" s="181">
        <f>SUM(M68:M70)</f>
        <v>126611.45851</v>
      </c>
      <c r="N71" s="182">
        <f>SUM(N68:N70)</f>
        <v>47.944258689350136</v>
      </c>
      <c r="O71" s="183"/>
      <c r="S71" s="177"/>
    </row>
    <row r="72" spans="2:19" s="42" customFormat="1" ht="11.25">
      <c r="B72" s="158">
        <f>SUM(B68:B70)</f>
        <v>114.68499999999999</v>
      </c>
      <c r="I72" s="176">
        <f>SUM(I68:I70)</f>
        <v>104.362</v>
      </c>
      <c r="N72" s="50"/>
      <c r="O72" s="50"/>
      <c r="S72" s="50"/>
    </row>
    <row r="73" spans="2:19" s="42" customFormat="1" ht="11.25">
      <c r="B73" s="42">
        <f>B72*12.89</f>
        <v>1478.28965</v>
      </c>
      <c r="I73" s="42">
        <f>I72*E68</f>
        <v>125133.16885999999</v>
      </c>
      <c r="J73" s="42">
        <f>J71*E68</f>
        <v>126611.45851</v>
      </c>
      <c r="N73" s="48"/>
      <c r="O73" s="316"/>
      <c r="P73" s="316"/>
      <c r="S73" s="50"/>
    </row>
    <row r="74" spans="10:19" s="42" customFormat="1" ht="11.25">
      <c r="J74" s="42">
        <f>B73+I73</f>
        <v>126611.45851</v>
      </c>
      <c r="N74" s="48"/>
      <c r="O74" s="316"/>
      <c r="P74" s="316"/>
      <c r="S74" s="50"/>
    </row>
    <row r="75" ht="28.5" customHeight="1"/>
    <row r="76" spans="1:5" ht="12.75">
      <c r="A76" s="5" t="s">
        <v>137</v>
      </c>
      <c r="B76" s="9"/>
      <c r="C76" s="9"/>
      <c r="D76" s="5" t="s">
        <v>138</v>
      </c>
      <c r="E76" s="9"/>
    </row>
    <row r="77" ht="14.25" customHeight="1"/>
    <row r="78" ht="12.75">
      <c r="A78" t="s">
        <v>39</v>
      </c>
    </row>
    <row r="80" spans="1:19" ht="37.5" customHeight="1">
      <c r="A80" s="63" t="s">
        <v>136</v>
      </c>
      <c r="B80" s="63"/>
      <c r="C80" s="63"/>
      <c r="D80" s="63"/>
      <c r="E80" s="63"/>
      <c r="F80" s="64"/>
      <c r="G80" s="16"/>
      <c r="H80" s="279" t="s">
        <v>158</v>
      </c>
      <c r="I80" s="279"/>
      <c r="J80" s="15">
        <v>2014</v>
      </c>
      <c r="K80" s="16"/>
      <c r="L80" s="16" t="s">
        <v>120</v>
      </c>
      <c r="M80" s="16"/>
      <c r="N80" s="16"/>
      <c r="O80" s="16"/>
      <c r="P80" s="16"/>
      <c r="Q80" s="16" t="s">
        <v>119</v>
      </c>
      <c r="R80" s="16"/>
      <c r="S80" s="16"/>
    </row>
    <row r="81" spans="1:19" ht="49.5" customHeight="1">
      <c r="A81" s="63"/>
      <c r="B81" s="63"/>
      <c r="C81" s="63"/>
      <c r="D81" s="63"/>
      <c r="E81" s="63"/>
      <c r="F81" s="64"/>
      <c r="G81" s="16"/>
      <c r="H81" s="155"/>
      <c r="I81" s="155"/>
      <c r="J81" s="15"/>
      <c r="K81" s="16"/>
      <c r="L81" s="16"/>
      <c r="M81" s="16"/>
      <c r="N81" s="16"/>
      <c r="O81" s="16"/>
      <c r="P81" s="16"/>
      <c r="Q81" s="16"/>
      <c r="R81" s="16"/>
      <c r="S81" s="16"/>
    </row>
    <row r="82" spans="1:20" ht="25.5" customHeight="1">
      <c r="A82" s="252" t="s">
        <v>116</v>
      </c>
      <c r="B82" s="270" t="s">
        <v>171</v>
      </c>
      <c r="C82" s="270" t="s">
        <v>178</v>
      </c>
      <c r="D82" s="272" t="s">
        <v>104</v>
      </c>
      <c r="E82" s="270" t="s">
        <v>100</v>
      </c>
      <c r="F82" s="272" t="s">
        <v>173</v>
      </c>
      <c r="G82" s="268" t="s">
        <v>179</v>
      </c>
      <c r="H82" s="268" t="s">
        <v>180</v>
      </c>
      <c r="I82" s="276" t="s">
        <v>132</v>
      </c>
      <c r="J82" s="278" t="s">
        <v>109</v>
      </c>
      <c r="K82" s="272" t="s">
        <v>124</v>
      </c>
      <c r="L82" s="272" t="s">
        <v>181</v>
      </c>
      <c r="M82" s="241" t="s">
        <v>176</v>
      </c>
      <c r="N82" s="270" t="s">
        <v>133</v>
      </c>
      <c r="O82" s="272" t="s">
        <v>142</v>
      </c>
      <c r="P82" s="274" t="s">
        <v>135</v>
      </c>
      <c r="Q82" s="278" t="s">
        <v>123</v>
      </c>
      <c r="R82" s="266" t="s">
        <v>115</v>
      </c>
      <c r="S82" s="243" t="s">
        <v>117</v>
      </c>
      <c r="T82" s="290" t="s">
        <v>157</v>
      </c>
    </row>
    <row r="83" spans="1:20" ht="70.5" customHeight="1">
      <c r="A83" s="253"/>
      <c r="B83" s="271"/>
      <c r="C83" s="271"/>
      <c r="D83" s="273"/>
      <c r="E83" s="271"/>
      <c r="F83" s="273"/>
      <c r="G83" s="242"/>
      <c r="H83" s="242"/>
      <c r="I83" s="277"/>
      <c r="J83" s="242"/>
      <c r="K83" s="273"/>
      <c r="L83" s="273"/>
      <c r="M83" s="269"/>
      <c r="N83" s="271"/>
      <c r="O83" s="273"/>
      <c r="P83" s="275"/>
      <c r="Q83" s="242"/>
      <c r="R83" s="267"/>
      <c r="S83" s="240"/>
      <c r="T83" s="291"/>
    </row>
    <row r="84" spans="1:20" s="72" customFormat="1" ht="10.5" customHeight="1">
      <c r="A84" s="68"/>
      <c r="B84" s="69">
        <v>1</v>
      </c>
      <c r="C84" s="69">
        <v>2</v>
      </c>
      <c r="D84" s="69">
        <v>3</v>
      </c>
      <c r="E84" s="69">
        <v>4</v>
      </c>
      <c r="F84" s="69">
        <v>5</v>
      </c>
      <c r="G84" s="69">
        <v>6</v>
      </c>
      <c r="H84" s="69">
        <v>7</v>
      </c>
      <c r="I84" s="69">
        <v>8</v>
      </c>
      <c r="J84" s="69">
        <v>9</v>
      </c>
      <c r="K84" s="69">
        <v>10</v>
      </c>
      <c r="L84" s="69">
        <v>11</v>
      </c>
      <c r="M84" s="69">
        <v>12</v>
      </c>
      <c r="N84" s="69">
        <v>13</v>
      </c>
      <c r="O84" s="69">
        <v>14</v>
      </c>
      <c r="P84" s="69">
        <v>15</v>
      </c>
      <c r="Q84" s="69">
        <v>16</v>
      </c>
      <c r="R84" s="69">
        <v>17</v>
      </c>
      <c r="S84" s="69">
        <v>18</v>
      </c>
      <c r="T84" s="193">
        <v>19</v>
      </c>
    </row>
    <row r="85" spans="1:20" ht="12.75">
      <c r="A85" s="61" t="s">
        <v>147</v>
      </c>
      <c r="B85" s="85">
        <f>329.405+11.226</f>
        <v>340.631</v>
      </c>
      <c r="C85" s="59">
        <v>0</v>
      </c>
      <c r="D85" s="2">
        <f>B85+C85</f>
        <v>340.631</v>
      </c>
      <c r="E85" s="67">
        <v>0.0546</v>
      </c>
      <c r="F85" s="20">
        <f>D85*E85</f>
        <v>18.598452599999998</v>
      </c>
      <c r="G85" s="80">
        <f>B85*12.89/1199.03</f>
        <v>3.6619046979641876</v>
      </c>
      <c r="H85" s="80"/>
      <c r="I85" s="65">
        <f>F85+G85+H85</f>
        <v>22.260357297964184</v>
      </c>
      <c r="J85" s="62">
        <v>1199.03</v>
      </c>
      <c r="K85" s="2">
        <f>I85*J85</f>
        <v>26690.836210977996</v>
      </c>
      <c r="L85" s="53">
        <f>D85</f>
        <v>340.631</v>
      </c>
      <c r="M85" s="21">
        <f>K85/L85</f>
        <v>78.35703799999999</v>
      </c>
      <c r="N85" s="85">
        <f>34.823+40.556</f>
        <v>75.37899999999999</v>
      </c>
      <c r="O85" s="20">
        <f>G85+H85+N85</f>
        <v>79.04090469796418</v>
      </c>
      <c r="P85" s="65">
        <f>O85-I85</f>
        <v>56.780547399999996</v>
      </c>
      <c r="Q85" s="58">
        <v>3500.4</v>
      </c>
      <c r="R85" s="1">
        <f>P85*J85</f>
        <v>68081.579749022</v>
      </c>
      <c r="S85" s="4">
        <f>R85/Q85</f>
        <v>19.44965711033653</v>
      </c>
      <c r="T85" s="194">
        <f>O85*J85/D85</f>
        <v>278.2260450751693</v>
      </c>
    </row>
    <row r="86" spans="1:20" ht="12.75">
      <c r="A86" s="61" t="s">
        <v>148</v>
      </c>
      <c r="B86" s="85">
        <f>286.322+92.231</f>
        <v>378.553</v>
      </c>
      <c r="C86" s="59">
        <v>0</v>
      </c>
      <c r="D86" s="2">
        <f>B86+C86</f>
        <v>378.553</v>
      </c>
      <c r="E86" s="67">
        <v>0.052</v>
      </c>
      <c r="F86" s="20">
        <f>D86*E86</f>
        <v>19.684756</v>
      </c>
      <c r="G86" s="80">
        <f>B86*12.89/1199.03</f>
        <v>4.0695797186058735</v>
      </c>
      <c r="H86" s="80"/>
      <c r="I86" s="65">
        <f>F86+G86+H86</f>
        <v>23.754335718605873</v>
      </c>
      <c r="J86" s="62">
        <v>1199.03</v>
      </c>
      <c r="K86" s="2">
        <f>I86*J86</f>
        <v>28482.16115668</v>
      </c>
      <c r="L86" s="53">
        <f>D86</f>
        <v>378.553</v>
      </c>
      <c r="M86" s="21">
        <f>K86/L86</f>
        <v>75.23956</v>
      </c>
      <c r="N86" s="85">
        <f>29.292+39.25</f>
        <v>68.542</v>
      </c>
      <c r="O86" s="20">
        <f>G86+H86+N86</f>
        <v>72.61157971860588</v>
      </c>
      <c r="P86" s="65">
        <f>O86-I86</f>
        <v>48.85724400000001</v>
      </c>
      <c r="Q86" s="58">
        <v>3447.5</v>
      </c>
      <c r="R86" s="1">
        <f>P86*J86</f>
        <v>58581.30127332001</v>
      </c>
      <c r="S86" s="4">
        <f>R86/Q86</f>
        <v>16.99240065941117</v>
      </c>
      <c r="T86" s="194">
        <f>O86*J86/D86</f>
        <v>229.99015310934007</v>
      </c>
    </row>
    <row r="87" spans="1:20" ht="12.75">
      <c r="A87" s="61" t="s">
        <v>159</v>
      </c>
      <c r="B87" s="85">
        <f>77+11.228</f>
        <v>88.228</v>
      </c>
      <c r="C87" s="59">
        <v>0</v>
      </c>
      <c r="D87" s="2">
        <f>B87+C87</f>
        <v>88.228</v>
      </c>
      <c r="E87" s="67">
        <v>0.055</v>
      </c>
      <c r="F87" s="20">
        <f>D87*E87</f>
        <v>4.852539999999999</v>
      </c>
      <c r="G87" s="80">
        <f>B87*12.89/1199.03</f>
        <v>0.9484824566524608</v>
      </c>
      <c r="H87" s="80"/>
      <c r="I87" s="65">
        <f>F87+G87+H87</f>
        <v>5.80102245665246</v>
      </c>
      <c r="J87" s="62">
        <v>1199.03</v>
      </c>
      <c r="K87" s="2">
        <f>I87*J87</f>
        <v>6955.5999562</v>
      </c>
      <c r="L87" s="53">
        <f>D87</f>
        <v>88.228</v>
      </c>
      <c r="M87" s="21">
        <f>K87/L87</f>
        <v>78.83665</v>
      </c>
      <c r="N87" s="85">
        <f>24.556+10.375</f>
        <v>34.931</v>
      </c>
      <c r="O87" s="20">
        <f>G87+H87+N87</f>
        <v>35.87948245665246</v>
      </c>
      <c r="P87" s="65">
        <f>O87-I87</f>
        <v>30.07846</v>
      </c>
      <c r="Q87" s="58">
        <v>1478.3</v>
      </c>
      <c r="R87" s="1">
        <f>P87*J87</f>
        <v>36064.9758938</v>
      </c>
      <c r="S87" s="4">
        <f>R87/Q87</f>
        <v>24.39624967449097</v>
      </c>
      <c r="T87" s="194">
        <f>O87*J87/D87</f>
        <v>487.60683513170426</v>
      </c>
    </row>
    <row r="88" spans="1:20" ht="12.75">
      <c r="A88" s="61" t="s">
        <v>89</v>
      </c>
      <c r="B88" s="111">
        <f>SUM(B85:B87)</f>
        <v>807.4119999999999</v>
      </c>
      <c r="C88" s="111">
        <f aca="true" t="shared" si="16" ref="C88:T88">SUM(C85:C87)</f>
        <v>0</v>
      </c>
      <c r="D88" s="111">
        <f t="shared" si="16"/>
        <v>807.4119999999999</v>
      </c>
      <c r="E88" s="111">
        <f t="shared" si="16"/>
        <v>0.1616</v>
      </c>
      <c r="F88" s="111">
        <f t="shared" si="16"/>
        <v>43.13574859999999</v>
      </c>
      <c r="G88" s="111">
        <f t="shared" si="16"/>
        <v>8.679966873222522</v>
      </c>
      <c r="H88" s="111">
        <f t="shared" si="16"/>
        <v>0</v>
      </c>
      <c r="I88" s="111">
        <f t="shared" si="16"/>
        <v>51.81571547322252</v>
      </c>
      <c r="J88" s="111">
        <f t="shared" si="16"/>
        <v>3597.09</v>
      </c>
      <c r="K88" s="198">
        <f t="shared" si="16"/>
        <v>62128.597323858</v>
      </c>
      <c r="L88" s="111">
        <f t="shared" si="16"/>
        <v>807.4119999999999</v>
      </c>
      <c r="M88" s="111">
        <f t="shared" si="16"/>
        <v>232.433248</v>
      </c>
      <c r="N88" s="111">
        <f>SUM(N85:N87)</f>
        <v>178.85199999999998</v>
      </c>
      <c r="O88" s="111">
        <f t="shared" si="16"/>
        <v>187.53196687322253</v>
      </c>
      <c r="P88" s="111">
        <f t="shared" si="16"/>
        <v>135.7162514</v>
      </c>
      <c r="Q88" s="111">
        <f t="shared" si="16"/>
        <v>8426.199999999999</v>
      </c>
      <c r="R88" s="111">
        <f t="shared" si="16"/>
        <v>162727.85691614202</v>
      </c>
      <c r="S88" s="111">
        <f t="shared" si="16"/>
        <v>60.83830744423868</v>
      </c>
      <c r="T88" s="199">
        <f t="shared" si="16"/>
        <v>995.8230333162137</v>
      </c>
    </row>
    <row r="90" spans="2:14" ht="12.75">
      <c r="B90">
        <f>B88*12.89</f>
        <v>10407.54068</v>
      </c>
      <c r="N90">
        <f>N88*1199.03</f>
        <v>214448.91355999996</v>
      </c>
    </row>
    <row r="91" ht="12.75">
      <c r="O91">
        <f>B90+N90</f>
        <v>224856.45423999996</v>
      </c>
    </row>
    <row r="94" ht="53.25" customHeight="1"/>
    <row r="95" spans="1:5" ht="12.75">
      <c r="A95" s="5" t="s">
        <v>137</v>
      </c>
      <c r="B95" s="9"/>
      <c r="C95" s="9"/>
      <c r="D95" s="5" t="s">
        <v>138</v>
      </c>
      <c r="E95" s="9"/>
    </row>
    <row r="96" ht="25.5" customHeight="1"/>
    <row r="97" ht="12.75">
      <c r="A97" t="s">
        <v>39</v>
      </c>
    </row>
    <row r="113" ht="15.75" customHeight="1"/>
    <row r="117" spans="1:19" ht="37.5" customHeight="1">
      <c r="A117" s="63" t="s">
        <v>136</v>
      </c>
      <c r="B117" s="63"/>
      <c r="C117" s="63"/>
      <c r="D117" s="63"/>
      <c r="E117" s="63"/>
      <c r="F117" s="64"/>
      <c r="G117" s="16"/>
      <c r="H117" s="279" t="s">
        <v>158</v>
      </c>
      <c r="I117" s="279"/>
      <c r="J117" s="15">
        <v>2014</v>
      </c>
      <c r="K117" s="16"/>
      <c r="L117" s="16" t="s">
        <v>120</v>
      </c>
      <c r="M117" s="16"/>
      <c r="N117" s="16"/>
      <c r="O117" s="16"/>
      <c r="P117" s="16"/>
      <c r="Q117" s="16" t="s">
        <v>119</v>
      </c>
      <c r="R117" s="16"/>
      <c r="S117" s="16"/>
    </row>
    <row r="119" ht="13.5" customHeight="1"/>
    <row r="120" spans="1:20" ht="25.5" customHeight="1">
      <c r="A120" s="252" t="s">
        <v>116</v>
      </c>
      <c r="B120" s="270" t="s">
        <v>177</v>
      </c>
      <c r="C120" s="270" t="s">
        <v>178</v>
      </c>
      <c r="D120" s="272" t="s">
        <v>172</v>
      </c>
      <c r="E120" s="270" t="s">
        <v>100</v>
      </c>
      <c r="F120" s="272" t="s">
        <v>173</v>
      </c>
      <c r="G120" s="268" t="s">
        <v>179</v>
      </c>
      <c r="H120" s="268" t="s">
        <v>180</v>
      </c>
      <c r="I120" s="276" t="s">
        <v>132</v>
      </c>
      <c r="J120" s="278" t="s">
        <v>109</v>
      </c>
      <c r="K120" s="272" t="s">
        <v>124</v>
      </c>
      <c r="L120" s="272" t="s">
        <v>181</v>
      </c>
      <c r="M120" s="241" t="s">
        <v>176</v>
      </c>
      <c r="N120" s="270" t="s">
        <v>133</v>
      </c>
      <c r="O120" s="272" t="s">
        <v>142</v>
      </c>
      <c r="P120" s="274" t="s">
        <v>135</v>
      </c>
      <c r="Q120" s="278" t="s">
        <v>123</v>
      </c>
      <c r="R120" s="266" t="s">
        <v>115</v>
      </c>
      <c r="S120" s="243" t="s">
        <v>117</v>
      </c>
      <c r="T120" s="290" t="s">
        <v>157</v>
      </c>
    </row>
    <row r="121" spans="1:20" ht="70.5" customHeight="1">
      <c r="A121" s="253"/>
      <c r="B121" s="271"/>
      <c r="C121" s="271"/>
      <c r="D121" s="273"/>
      <c r="E121" s="271"/>
      <c r="F121" s="273"/>
      <c r="G121" s="242"/>
      <c r="H121" s="242"/>
      <c r="I121" s="277"/>
      <c r="J121" s="242"/>
      <c r="K121" s="273"/>
      <c r="L121" s="273"/>
      <c r="M121" s="269"/>
      <c r="N121" s="271"/>
      <c r="O121" s="273"/>
      <c r="P121" s="275"/>
      <c r="Q121" s="242"/>
      <c r="R121" s="267"/>
      <c r="S121" s="240"/>
      <c r="T121" s="291"/>
    </row>
    <row r="122" spans="1:20" s="72" customFormat="1" ht="10.5" customHeight="1">
      <c r="A122" s="68"/>
      <c r="B122" s="69">
        <v>1</v>
      </c>
      <c r="C122" s="69">
        <v>2</v>
      </c>
      <c r="D122" s="69">
        <v>3</v>
      </c>
      <c r="E122" s="69">
        <v>4</v>
      </c>
      <c r="F122" s="69">
        <v>5</v>
      </c>
      <c r="G122" s="69">
        <v>6</v>
      </c>
      <c r="H122" s="69">
        <v>7</v>
      </c>
      <c r="I122" s="69">
        <v>8</v>
      </c>
      <c r="J122" s="69">
        <v>9</v>
      </c>
      <c r="K122" s="69">
        <v>10</v>
      </c>
      <c r="L122" s="69">
        <v>11</v>
      </c>
      <c r="M122" s="69">
        <v>12</v>
      </c>
      <c r="N122" s="69">
        <v>13</v>
      </c>
      <c r="O122" s="69">
        <v>14</v>
      </c>
      <c r="P122" s="69">
        <v>15</v>
      </c>
      <c r="Q122" s="69">
        <v>16</v>
      </c>
      <c r="R122" s="69">
        <v>17</v>
      </c>
      <c r="S122" s="69">
        <v>18</v>
      </c>
      <c r="T122" s="193">
        <v>19</v>
      </c>
    </row>
    <row r="123" spans="1:20" ht="12.75">
      <c r="A123" s="61" t="s">
        <v>147</v>
      </c>
      <c r="B123" s="85">
        <f>329.405+11.226</f>
        <v>340.631</v>
      </c>
      <c r="C123" s="59">
        <v>0</v>
      </c>
      <c r="D123" s="2">
        <f>B123+C123</f>
        <v>340.631</v>
      </c>
      <c r="E123" s="67">
        <v>0.0546</v>
      </c>
      <c r="F123" s="20">
        <f>D123*E123</f>
        <v>18.598452599999998</v>
      </c>
      <c r="G123" s="80">
        <f>B123*12.89/1199.03</f>
        <v>3.6619046979641876</v>
      </c>
      <c r="H123" s="80"/>
      <c r="I123" s="65">
        <f>K123/J123</f>
        <v>24.099253338114977</v>
      </c>
      <c r="J123" s="62">
        <v>1199.03</v>
      </c>
      <c r="K123" s="2">
        <f>L123*M123</f>
        <v>28895.72773</v>
      </c>
      <c r="L123" s="53">
        <f>D123</f>
        <v>340.631</v>
      </c>
      <c r="M123" s="21">
        <v>84.83</v>
      </c>
      <c r="N123" s="85">
        <f>34.823+40.556</f>
        <v>75.37899999999999</v>
      </c>
      <c r="O123" s="20">
        <f>G123+H123+N123</f>
        <v>79.04090469796418</v>
      </c>
      <c r="P123" s="65">
        <f>O123-I123</f>
        <v>54.9416513598492</v>
      </c>
      <c r="Q123" s="58">
        <v>3500.4</v>
      </c>
      <c r="R123" s="1">
        <f>P123*J123</f>
        <v>65876.68822999999</v>
      </c>
      <c r="S123" s="4">
        <f>R123/Q123</f>
        <v>18.81976009313221</v>
      </c>
      <c r="T123" s="194">
        <f>O123*J123/D123</f>
        <v>278.2260450751693</v>
      </c>
    </row>
    <row r="124" spans="1:20" ht="12.75">
      <c r="A124" s="61" t="s">
        <v>148</v>
      </c>
      <c r="B124" s="85">
        <f>286.322+92.231</f>
        <v>378.553</v>
      </c>
      <c r="C124" s="59">
        <v>0</v>
      </c>
      <c r="D124" s="2">
        <f>B124+C124</f>
        <v>378.553</v>
      </c>
      <c r="E124" s="67">
        <v>0.052</v>
      </c>
      <c r="F124" s="20">
        <f>D124*E124</f>
        <v>19.684756</v>
      </c>
      <c r="G124" s="80">
        <f>B124*12.89/1199.03</f>
        <v>4.0695797186058735</v>
      </c>
      <c r="H124" s="80"/>
      <c r="I124" s="65">
        <f>K124/J124</f>
        <v>26.78219142973904</v>
      </c>
      <c r="J124" s="62">
        <v>1199.03</v>
      </c>
      <c r="K124" s="2">
        <f>L124*M124</f>
        <v>32112.65099</v>
      </c>
      <c r="L124" s="53">
        <f>D124</f>
        <v>378.553</v>
      </c>
      <c r="M124" s="21">
        <v>84.83</v>
      </c>
      <c r="N124" s="85">
        <f>29.292+39.25</f>
        <v>68.542</v>
      </c>
      <c r="O124" s="20">
        <f>G124+H124+N124</f>
        <v>72.61157971860588</v>
      </c>
      <c r="P124" s="65">
        <f>O124-I124</f>
        <v>45.82938828886684</v>
      </c>
      <c r="Q124" s="58">
        <v>3447.5</v>
      </c>
      <c r="R124" s="1">
        <f>P124*J124</f>
        <v>54950.811440000005</v>
      </c>
      <c r="S124" s="4">
        <f>R124/Q124</f>
        <v>15.93932166497462</v>
      </c>
      <c r="T124" s="194">
        <f>O124*J124/D124</f>
        <v>229.99015310934007</v>
      </c>
    </row>
    <row r="125" spans="1:20" ht="12.75">
      <c r="A125" s="61" t="s">
        <v>159</v>
      </c>
      <c r="B125" s="85">
        <f>77+11.228</f>
        <v>88.228</v>
      </c>
      <c r="C125" s="59">
        <v>0</v>
      </c>
      <c r="D125" s="2">
        <f>B125+C125</f>
        <v>88.228</v>
      </c>
      <c r="E125" s="67">
        <v>0.055</v>
      </c>
      <c r="F125" s="20">
        <f>D125*E125</f>
        <v>4.852539999999999</v>
      </c>
      <c r="G125" s="80">
        <f>B125*12.89/1199.03</f>
        <v>0.9484824566524608</v>
      </c>
      <c r="H125" s="80"/>
      <c r="I125" s="65">
        <f>K125/J125</f>
        <v>6.242030007589468</v>
      </c>
      <c r="J125" s="62">
        <v>1199.03</v>
      </c>
      <c r="K125" s="2">
        <f>L125*M125</f>
        <v>7484.38124</v>
      </c>
      <c r="L125" s="53">
        <f>D125</f>
        <v>88.228</v>
      </c>
      <c r="M125" s="21">
        <v>84.83</v>
      </c>
      <c r="N125" s="85">
        <f>24.556+10.375</f>
        <v>34.931</v>
      </c>
      <c r="O125" s="20">
        <f>G125+H125+N125</f>
        <v>35.87948245665246</v>
      </c>
      <c r="P125" s="65">
        <f>O125-I125</f>
        <v>29.63745244906299</v>
      </c>
      <c r="Q125" s="58">
        <v>1478.3</v>
      </c>
      <c r="R125" s="1">
        <f>P125*J125</f>
        <v>35536.19461</v>
      </c>
      <c r="S125" s="4">
        <f>R125/Q125</f>
        <v>24.03855415680173</v>
      </c>
      <c r="T125" s="194">
        <f>O125*J125/D125</f>
        <v>487.60683513170426</v>
      </c>
    </row>
    <row r="126" spans="1:20" ht="12.75">
      <c r="A126" s="61" t="s">
        <v>89</v>
      </c>
      <c r="B126" s="111">
        <f aca="true" t="shared" si="17" ref="B126:T126">SUM(B123:B125)</f>
        <v>807.4119999999999</v>
      </c>
      <c r="C126" s="111">
        <f t="shared" si="17"/>
        <v>0</v>
      </c>
      <c r="D126" s="111">
        <f t="shared" si="17"/>
        <v>807.4119999999999</v>
      </c>
      <c r="E126" s="111">
        <f t="shared" si="17"/>
        <v>0.1616</v>
      </c>
      <c r="F126" s="111">
        <f t="shared" si="17"/>
        <v>43.13574859999999</v>
      </c>
      <c r="G126" s="111">
        <f t="shared" si="17"/>
        <v>8.679966873222522</v>
      </c>
      <c r="H126" s="111">
        <f t="shared" si="17"/>
        <v>0</v>
      </c>
      <c r="I126" s="111">
        <f t="shared" si="17"/>
        <v>57.12347477544349</v>
      </c>
      <c r="J126" s="111">
        <f t="shared" si="17"/>
        <v>3597.09</v>
      </c>
      <c r="K126" s="198">
        <f t="shared" si="17"/>
        <v>68492.75996</v>
      </c>
      <c r="L126" s="111">
        <f t="shared" si="17"/>
        <v>807.4119999999999</v>
      </c>
      <c r="M126" s="111">
        <f t="shared" si="17"/>
        <v>254.49</v>
      </c>
      <c r="N126" s="111">
        <f t="shared" si="17"/>
        <v>178.85199999999998</v>
      </c>
      <c r="O126" s="111">
        <f t="shared" si="17"/>
        <v>187.53196687322253</v>
      </c>
      <c r="P126" s="111">
        <f t="shared" si="17"/>
        <v>130.40849209777903</v>
      </c>
      <c r="Q126" s="111">
        <f t="shared" si="17"/>
        <v>8426.199999999999</v>
      </c>
      <c r="R126" s="111">
        <f t="shared" si="17"/>
        <v>156363.69428</v>
      </c>
      <c r="S126" s="111">
        <f t="shared" si="17"/>
        <v>58.79763591490856</v>
      </c>
      <c r="T126" s="199">
        <f t="shared" si="17"/>
        <v>995.8230333162137</v>
      </c>
    </row>
    <row r="127" ht="5.25" customHeight="1"/>
    <row r="128" spans="2:19" s="200" customFormat="1" ht="8.25" customHeight="1">
      <c r="B128" s="200">
        <f>B126*12.89</f>
        <v>10407.54068</v>
      </c>
      <c r="N128" s="200">
        <f>N126*1199.03</f>
        <v>214448.91355999996</v>
      </c>
      <c r="S128" s="201"/>
    </row>
    <row r="129" spans="15:19" s="200" customFormat="1" ht="8.25" customHeight="1">
      <c r="O129" s="200">
        <f>B128+N128</f>
        <v>224856.45423999996</v>
      </c>
      <c r="S129" s="201"/>
    </row>
    <row r="130" ht="27.75" customHeight="1"/>
    <row r="131" spans="1:20" ht="25.5" customHeight="1">
      <c r="A131" s="252" t="s">
        <v>116</v>
      </c>
      <c r="B131" s="270" t="s">
        <v>126</v>
      </c>
      <c r="C131" s="270" t="s">
        <v>127</v>
      </c>
      <c r="D131" s="272" t="s">
        <v>104</v>
      </c>
      <c r="E131" s="270" t="s">
        <v>100</v>
      </c>
      <c r="F131" s="272" t="s">
        <v>128</v>
      </c>
      <c r="G131" s="268" t="s">
        <v>179</v>
      </c>
      <c r="H131" s="268" t="s">
        <v>180</v>
      </c>
      <c r="I131" s="276" t="s">
        <v>132</v>
      </c>
      <c r="J131" s="278" t="s">
        <v>109</v>
      </c>
      <c r="K131" s="272" t="s">
        <v>124</v>
      </c>
      <c r="L131" s="272" t="s">
        <v>181</v>
      </c>
      <c r="M131" s="241" t="s">
        <v>157</v>
      </c>
      <c r="N131" s="270" t="s">
        <v>133</v>
      </c>
      <c r="O131" s="272" t="s">
        <v>142</v>
      </c>
      <c r="P131" s="274" t="s">
        <v>135</v>
      </c>
      <c r="Q131" s="278" t="s">
        <v>123</v>
      </c>
      <c r="R131" s="266" t="s">
        <v>115</v>
      </c>
      <c r="S131" s="243" t="s">
        <v>117</v>
      </c>
      <c r="T131" s="290" t="s">
        <v>157</v>
      </c>
    </row>
    <row r="132" spans="1:20" ht="70.5" customHeight="1">
      <c r="A132" s="253"/>
      <c r="B132" s="271"/>
      <c r="C132" s="271"/>
      <c r="D132" s="273"/>
      <c r="E132" s="271"/>
      <c r="F132" s="273"/>
      <c r="G132" s="242"/>
      <c r="H132" s="242"/>
      <c r="I132" s="277"/>
      <c r="J132" s="242"/>
      <c r="K132" s="273"/>
      <c r="L132" s="273"/>
      <c r="M132" s="269"/>
      <c r="N132" s="271"/>
      <c r="O132" s="273"/>
      <c r="P132" s="275"/>
      <c r="Q132" s="242"/>
      <c r="R132" s="267"/>
      <c r="S132" s="240"/>
      <c r="T132" s="291"/>
    </row>
    <row r="133" spans="1:20" s="72" customFormat="1" ht="10.5" customHeight="1">
      <c r="A133" s="68"/>
      <c r="B133" s="69">
        <v>1</v>
      </c>
      <c r="C133" s="69">
        <v>2</v>
      </c>
      <c r="D133" s="69">
        <v>3</v>
      </c>
      <c r="E133" s="69">
        <v>4</v>
      </c>
      <c r="F133" s="69">
        <v>5</v>
      </c>
      <c r="G133" s="69">
        <v>6</v>
      </c>
      <c r="H133" s="69">
        <v>7</v>
      </c>
      <c r="I133" s="69">
        <v>8</v>
      </c>
      <c r="J133" s="69">
        <v>9</v>
      </c>
      <c r="K133" s="69">
        <v>10</v>
      </c>
      <c r="L133" s="69">
        <v>11</v>
      </c>
      <c r="M133" s="69">
        <v>12</v>
      </c>
      <c r="N133" s="69">
        <v>13</v>
      </c>
      <c r="O133" s="69">
        <v>14</v>
      </c>
      <c r="P133" s="69">
        <v>15</v>
      </c>
      <c r="Q133" s="69">
        <v>16</v>
      </c>
      <c r="R133" s="69">
        <v>17</v>
      </c>
      <c r="S133" s="69">
        <v>18</v>
      </c>
      <c r="T133" s="193">
        <v>19</v>
      </c>
    </row>
    <row r="134" spans="1:20" ht="12.75">
      <c r="A134" s="61" t="s">
        <v>147</v>
      </c>
      <c r="B134" s="85">
        <f>329.405+11.226</f>
        <v>340.631</v>
      </c>
      <c r="C134" s="59">
        <v>0</v>
      </c>
      <c r="D134" s="2">
        <f>B134+C134</f>
        <v>340.631</v>
      </c>
      <c r="E134" s="67">
        <v>0.0546</v>
      </c>
      <c r="F134" s="20">
        <f>D134*E134</f>
        <v>18.598452599999998</v>
      </c>
      <c r="G134" s="80">
        <f>B134*12.89/1199.03</f>
        <v>3.6619046979641876</v>
      </c>
      <c r="H134" s="80"/>
      <c r="I134" s="65">
        <f>K134/J134</f>
        <v>26.77536988232154</v>
      </c>
      <c r="J134" s="62">
        <v>1199.03</v>
      </c>
      <c r="K134" s="2">
        <f>L134*M134</f>
        <v>32104.471749999997</v>
      </c>
      <c r="L134" s="53">
        <f>D134</f>
        <v>340.631</v>
      </c>
      <c r="M134" s="21">
        <v>94.25</v>
      </c>
      <c r="N134" s="85">
        <f>34.823+40.556</f>
        <v>75.37899999999999</v>
      </c>
      <c r="O134" s="20">
        <f>G134+H134+N134</f>
        <v>79.04090469796418</v>
      </c>
      <c r="P134" s="65">
        <f>O134-I134</f>
        <v>52.26553481564264</v>
      </c>
      <c r="Q134" s="58">
        <v>3500.4</v>
      </c>
      <c r="R134" s="1">
        <f>P134*J134</f>
        <v>62667.944209999994</v>
      </c>
      <c r="S134" s="4">
        <f>R134/Q134</f>
        <v>17.90308085075991</v>
      </c>
      <c r="T134" s="194">
        <f>O134*J134/D134</f>
        <v>278.2260450751693</v>
      </c>
    </row>
    <row r="135" spans="1:20" ht="12.75">
      <c r="A135" s="61" t="s">
        <v>148</v>
      </c>
      <c r="B135" s="85">
        <f>286.322+92.231</f>
        <v>378.553</v>
      </c>
      <c r="C135" s="59">
        <v>0</v>
      </c>
      <c r="D135" s="2">
        <f>B135+C135</f>
        <v>378.553</v>
      </c>
      <c r="E135" s="67">
        <v>0.052</v>
      </c>
      <c r="F135" s="20">
        <f>D135*E135</f>
        <v>19.684756</v>
      </c>
      <c r="G135" s="80">
        <f>B135*12.89/1199.03</f>
        <v>4.0695797186058735</v>
      </c>
      <c r="H135" s="80"/>
      <c r="I135" s="65">
        <f>K135/J135</f>
        <v>29.756236499503768</v>
      </c>
      <c r="J135" s="62">
        <v>1199.03</v>
      </c>
      <c r="K135" s="2">
        <f>L135*M135</f>
        <v>35678.62025</v>
      </c>
      <c r="L135" s="53">
        <f>D135</f>
        <v>378.553</v>
      </c>
      <c r="M135" s="21">
        <v>94.25</v>
      </c>
      <c r="N135" s="85">
        <f>29.292+39.25</f>
        <v>68.542</v>
      </c>
      <c r="O135" s="20">
        <f>G135+H135+N135</f>
        <v>72.61157971860588</v>
      </c>
      <c r="P135" s="65">
        <f>O135-I135</f>
        <v>42.85534321910211</v>
      </c>
      <c r="Q135" s="58">
        <v>3447.5</v>
      </c>
      <c r="R135" s="1">
        <f>P135*J135</f>
        <v>51384.84218</v>
      </c>
      <c r="S135" s="4">
        <f>R135/Q135</f>
        <v>14.904957847715735</v>
      </c>
      <c r="T135" s="194">
        <f>O135*J135/D135</f>
        <v>229.99015310934007</v>
      </c>
    </row>
    <row r="136" spans="1:20" ht="12.75">
      <c r="A136" s="61" t="s">
        <v>159</v>
      </c>
      <c r="B136" s="85">
        <f>77+11.228</f>
        <v>88.228</v>
      </c>
      <c r="C136" s="59">
        <v>0</v>
      </c>
      <c r="D136" s="2">
        <f>B136+C136</f>
        <v>88.228</v>
      </c>
      <c r="E136" s="67">
        <v>0.055</v>
      </c>
      <c r="F136" s="20">
        <f>D136*E136</f>
        <v>4.852539999999999</v>
      </c>
      <c r="G136" s="80">
        <f>B136*12.89/1199.03</f>
        <v>0.9484824566524608</v>
      </c>
      <c r="H136" s="80"/>
      <c r="I136" s="65">
        <f>K136/J136</f>
        <v>6.935180103917333</v>
      </c>
      <c r="J136" s="62">
        <v>1199.03</v>
      </c>
      <c r="K136" s="2">
        <f>L136*M136</f>
        <v>8315.489</v>
      </c>
      <c r="L136" s="53">
        <f>D136</f>
        <v>88.228</v>
      </c>
      <c r="M136" s="21">
        <v>94.25</v>
      </c>
      <c r="N136" s="85">
        <f>24.556+10.375</f>
        <v>34.931</v>
      </c>
      <c r="O136" s="20">
        <f>G136+H136+N136</f>
        <v>35.87948245665246</v>
      </c>
      <c r="P136" s="65">
        <f>O136-I136</f>
        <v>28.94430235273513</v>
      </c>
      <c r="Q136" s="58">
        <v>1478.3</v>
      </c>
      <c r="R136" s="1">
        <f>P136*J136</f>
        <v>34705.08685</v>
      </c>
      <c r="S136" s="4">
        <f>R136/Q136</f>
        <v>23.476349083406618</v>
      </c>
      <c r="T136" s="194">
        <f>O136*J136/D136</f>
        <v>487.60683513170426</v>
      </c>
    </row>
    <row r="137" spans="1:20" ht="12.75">
      <c r="A137" s="61" t="s">
        <v>89</v>
      </c>
      <c r="B137" s="111">
        <f aca="true" t="shared" si="18" ref="B137:T137">SUM(B134:B136)</f>
        <v>807.4119999999999</v>
      </c>
      <c r="C137" s="111">
        <f t="shared" si="18"/>
        <v>0</v>
      </c>
      <c r="D137" s="111">
        <f t="shared" si="18"/>
        <v>807.4119999999999</v>
      </c>
      <c r="E137" s="111">
        <f t="shared" si="18"/>
        <v>0.1616</v>
      </c>
      <c r="F137" s="111">
        <f t="shared" si="18"/>
        <v>43.13574859999999</v>
      </c>
      <c r="G137" s="111">
        <f t="shared" si="18"/>
        <v>8.679966873222522</v>
      </c>
      <c r="H137" s="111">
        <f t="shared" si="18"/>
        <v>0</v>
      </c>
      <c r="I137" s="111">
        <f t="shared" si="18"/>
        <v>63.466786485742645</v>
      </c>
      <c r="J137" s="111">
        <f t="shared" si="18"/>
        <v>3597.09</v>
      </c>
      <c r="K137" s="198">
        <f t="shared" si="18"/>
        <v>76098.581</v>
      </c>
      <c r="L137" s="111">
        <f t="shared" si="18"/>
        <v>807.4119999999999</v>
      </c>
      <c r="M137" s="111">
        <f t="shared" si="18"/>
        <v>282.75</v>
      </c>
      <c r="N137" s="111">
        <f t="shared" si="18"/>
        <v>178.85199999999998</v>
      </c>
      <c r="O137" s="111">
        <f t="shared" si="18"/>
        <v>187.53196687322253</v>
      </c>
      <c r="P137" s="111">
        <f t="shared" si="18"/>
        <v>124.06518038747987</v>
      </c>
      <c r="Q137" s="111">
        <f t="shared" si="18"/>
        <v>8426.199999999999</v>
      </c>
      <c r="R137" s="111">
        <f t="shared" si="18"/>
        <v>148757.87324</v>
      </c>
      <c r="S137" s="111">
        <f t="shared" si="18"/>
        <v>56.28438778188226</v>
      </c>
      <c r="T137" s="199">
        <f t="shared" si="18"/>
        <v>995.8230333162137</v>
      </c>
    </row>
    <row r="139" spans="2:14" ht="12.75">
      <c r="B139">
        <f>B137*12.89</f>
        <v>10407.54068</v>
      </c>
      <c r="N139">
        <f>N137*1199.03</f>
        <v>214448.91355999996</v>
      </c>
    </row>
    <row r="140" ht="12.75">
      <c r="O140">
        <f>B139+N139</f>
        <v>224856.45423999996</v>
      </c>
    </row>
    <row r="144" spans="1:5" ht="12.75">
      <c r="A144" s="5" t="s">
        <v>137</v>
      </c>
      <c r="B144" s="9"/>
      <c r="C144" s="9"/>
      <c r="D144" s="5" t="s">
        <v>138</v>
      </c>
      <c r="E144" s="9"/>
    </row>
    <row r="145" ht="25.5" customHeight="1"/>
    <row r="146" ht="12.75">
      <c r="A146" t="s">
        <v>39</v>
      </c>
    </row>
  </sheetData>
  <mergeCells count="139">
    <mergeCell ref="O50:O51"/>
    <mergeCell ref="H80:I80"/>
    <mergeCell ref="H117:I117"/>
    <mergeCell ref="T82:T83"/>
    <mergeCell ref="P82:P83"/>
    <mergeCell ref="Q82:Q83"/>
    <mergeCell ref="R82:R83"/>
    <mergeCell ref="S82:S83"/>
    <mergeCell ref="L82:L83"/>
    <mergeCell ref="M82:M83"/>
    <mergeCell ref="N82:N83"/>
    <mergeCell ref="O82:O83"/>
    <mergeCell ref="H82:H83"/>
    <mergeCell ref="I82:I83"/>
    <mergeCell ref="J82:J83"/>
    <mergeCell ref="K82:K83"/>
    <mergeCell ref="O73:P73"/>
    <mergeCell ref="H46:I46"/>
    <mergeCell ref="F50:F51"/>
    <mergeCell ref="A82:A83"/>
    <mergeCell ref="B82:B83"/>
    <mergeCell ref="C82:C83"/>
    <mergeCell ref="D82:D83"/>
    <mergeCell ref="E82:E83"/>
    <mergeCell ref="F82:F83"/>
    <mergeCell ref="G82:G83"/>
    <mergeCell ref="O74:P74"/>
    <mergeCell ref="O28:P28"/>
    <mergeCell ref="A47:S47"/>
    <mergeCell ref="H63:I63"/>
    <mergeCell ref="B56:C56"/>
    <mergeCell ref="B57:C57"/>
    <mergeCell ref="B58:C58"/>
    <mergeCell ref="A50:A51"/>
    <mergeCell ref="C28:D28"/>
    <mergeCell ref="O29:P29"/>
    <mergeCell ref="A3:A4"/>
    <mergeCell ref="B3:B4"/>
    <mergeCell ref="C3:C4"/>
    <mergeCell ref="D3:D4"/>
    <mergeCell ref="H1:I1"/>
    <mergeCell ref="I3:I4"/>
    <mergeCell ref="J3:J4"/>
    <mergeCell ref="K3:K4"/>
    <mergeCell ref="R3:R4"/>
    <mergeCell ref="H3:H4"/>
    <mergeCell ref="S3:S4"/>
    <mergeCell ref="P3:P4"/>
    <mergeCell ref="Q3:Q4"/>
    <mergeCell ref="O3:O4"/>
    <mergeCell ref="M3:M4"/>
    <mergeCell ref="N3:N4"/>
    <mergeCell ref="L3:L4"/>
    <mergeCell ref="E3:E4"/>
    <mergeCell ref="F3:F4"/>
    <mergeCell ref="G3:G4"/>
    <mergeCell ref="C27:D27"/>
    <mergeCell ref="B50:B51"/>
    <mergeCell ref="C50:C51"/>
    <mergeCell ref="K50:K51"/>
    <mergeCell ref="L50:L51"/>
    <mergeCell ref="D50:D51"/>
    <mergeCell ref="E50:E51"/>
    <mergeCell ref="I50:I51"/>
    <mergeCell ref="J50:J51"/>
    <mergeCell ref="K71:L71"/>
    <mergeCell ref="S50:S51"/>
    <mergeCell ref="A65:A66"/>
    <mergeCell ref="D65:D66"/>
    <mergeCell ref="F65:F66"/>
    <mergeCell ref="G65:G66"/>
    <mergeCell ref="N50:N51"/>
    <mergeCell ref="P50:P51"/>
    <mergeCell ref="Q50:Q51"/>
    <mergeCell ref="R50:R51"/>
    <mergeCell ref="K69:L69"/>
    <mergeCell ref="K70:L70"/>
    <mergeCell ref="H65:H66"/>
    <mergeCell ref="E65:E66"/>
    <mergeCell ref="M65:M66"/>
    <mergeCell ref="N65:N66"/>
    <mergeCell ref="G50:G51"/>
    <mergeCell ref="H50:H51"/>
    <mergeCell ref="I56:J56"/>
    <mergeCell ref="I57:J57"/>
    <mergeCell ref="I58:J58"/>
    <mergeCell ref="M50:M51"/>
    <mergeCell ref="B69:C69"/>
    <mergeCell ref="B70:C70"/>
    <mergeCell ref="I65:I66"/>
    <mergeCell ref="B71:C71"/>
    <mergeCell ref="B65:C66"/>
    <mergeCell ref="B68:C68"/>
    <mergeCell ref="B67:C67"/>
    <mergeCell ref="B59:C59"/>
    <mergeCell ref="K65:L66"/>
    <mergeCell ref="K68:L68"/>
    <mergeCell ref="I59:J59"/>
    <mergeCell ref="J65:J66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S120:S121"/>
    <mergeCell ref="T120:T121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</mergeCells>
  <printOptions/>
  <pageMargins left="0.1968503937007874" right="0.1968503937007874" top="0" bottom="0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44"/>
  <sheetViews>
    <sheetView workbookViewId="0" topLeftCell="A2">
      <selection activeCell="A18" sqref="A18:IV18"/>
    </sheetView>
  </sheetViews>
  <sheetFormatPr defaultColWidth="9.00390625" defaultRowHeight="12.75"/>
  <cols>
    <col min="1" max="1" width="16.625" style="0" customWidth="1"/>
    <col min="2" max="2" width="9.00390625" style="0" customWidth="1"/>
    <col min="3" max="3" width="7.00390625" style="0" customWidth="1"/>
    <col min="4" max="4" width="8.875" style="0" customWidth="1"/>
    <col min="5" max="5" width="7.625" style="0" customWidth="1"/>
    <col min="6" max="6" width="6.75390625" style="0" customWidth="1"/>
    <col min="7" max="7" width="7.125" style="0" customWidth="1"/>
    <col min="8" max="8" width="7.625" style="0" customWidth="1"/>
    <col min="9" max="9" width="6.875" style="0" customWidth="1"/>
    <col min="10" max="10" width="7.75390625" style="0" customWidth="1"/>
    <col min="11" max="11" width="7.875" style="0" customWidth="1"/>
    <col min="12" max="12" width="8.625" style="0" customWidth="1"/>
    <col min="13" max="13" width="9.25390625" style="0" customWidth="1"/>
    <col min="14" max="14" width="8.625" style="0" customWidth="1"/>
    <col min="15" max="15" width="7.25390625" style="0" customWidth="1"/>
    <col min="16" max="16" width="7.00390625" style="0" customWidth="1"/>
    <col min="17" max="17" width="7.125" style="0" customWidth="1"/>
    <col min="18" max="18" width="9.875" style="0" customWidth="1"/>
    <col min="19" max="19" width="6.875" style="3" customWidth="1"/>
    <col min="20" max="20" width="4.875" style="0" customWidth="1"/>
  </cols>
  <sheetData>
    <row r="1" spans="1:19" ht="37.5" customHeight="1">
      <c r="A1" s="63" t="s">
        <v>136</v>
      </c>
      <c r="B1" s="63"/>
      <c r="C1" s="63"/>
      <c r="D1" s="63"/>
      <c r="E1" s="63"/>
      <c r="F1" s="64"/>
      <c r="G1" s="16"/>
      <c r="H1" s="279" t="s">
        <v>183</v>
      </c>
      <c r="I1" s="279"/>
      <c r="J1" s="15">
        <v>2014</v>
      </c>
      <c r="K1" s="16"/>
      <c r="L1" s="16" t="s">
        <v>120</v>
      </c>
      <c r="M1" s="16"/>
      <c r="N1" s="16"/>
      <c r="O1" s="16"/>
      <c r="P1" s="16"/>
      <c r="Q1" s="16" t="s">
        <v>119</v>
      </c>
      <c r="R1" s="16"/>
      <c r="S1" s="16"/>
    </row>
    <row r="2" spans="1:1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5"/>
      <c r="N2" s="55"/>
      <c r="O2" s="17"/>
    </row>
    <row r="3" spans="1:19" ht="25.5" customHeight="1">
      <c r="A3" s="252" t="s">
        <v>116</v>
      </c>
      <c r="B3" s="270" t="s">
        <v>126</v>
      </c>
      <c r="C3" s="270" t="s">
        <v>127</v>
      </c>
      <c r="D3" s="272" t="s">
        <v>104</v>
      </c>
      <c r="E3" s="270" t="s">
        <v>100</v>
      </c>
      <c r="F3" s="272" t="s">
        <v>128</v>
      </c>
      <c r="G3" s="268" t="s">
        <v>140</v>
      </c>
      <c r="H3" s="268" t="s">
        <v>131</v>
      </c>
      <c r="I3" s="276" t="s">
        <v>132</v>
      </c>
      <c r="J3" s="278" t="s">
        <v>165</v>
      </c>
      <c r="K3" s="272" t="s">
        <v>124</v>
      </c>
      <c r="L3" s="272" t="s">
        <v>129</v>
      </c>
      <c r="M3" s="285" t="s">
        <v>125</v>
      </c>
      <c r="N3" s="270" t="s">
        <v>133</v>
      </c>
      <c r="O3" s="272" t="s">
        <v>142</v>
      </c>
      <c r="P3" s="274" t="s">
        <v>135</v>
      </c>
      <c r="Q3" s="278" t="s">
        <v>123</v>
      </c>
      <c r="R3" s="266" t="s">
        <v>115</v>
      </c>
      <c r="S3" s="243" t="s">
        <v>117</v>
      </c>
    </row>
    <row r="4" spans="1:19" ht="70.5" customHeight="1">
      <c r="A4" s="253"/>
      <c r="B4" s="271"/>
      <c r="C4" s="271"/>
      <c r="D4" s="273"/>
      <c r="E4" s="271"/>
      <c r="F4" s="273"/>
      <c r="G4" s="242"/>
      <c r="H4" s="242"/>
      <c r="I4" s="277"/>
      <c r="J4" s="242"/>
      <c r="K4" s="273"/>
      <c r="L4" s="273"/>
      <c r="M4" s="286"/>
      <c r="N4" s="271"/>
      <c r="O4" s="273"/>
      <c r="P4" s="275"/>
      <c r="Q4" s="242"/>
      <c r="R4" s="267"/>
      <c r="S4" s="240"/>
    </row>
    <row r="5" spans="1:19" s="72" customFormat="1" ht="10.5" customHeight="1">
      <c r="A5" s="68"/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69">
        <v>6</v>
      </c>
      <c r="H5" s="69">
        <v>7</v>
      </c>
      <c r="I5" s="69">
        <v>8</v>
      </c>
      <c r="J5" s="69">
        <v>9</v>
      </c>
      <c r="K5" s="69">
        <v>10</v>
      </c>
      <c r="L5" s="69">
        <v>11</v>
      </c>
      <c r="M5" s="105">
        <v>12</v>
      </c>
      <c r="N5" s="69">
        <v>13</v>
      </c>
      <c r="O5" s="69">
        <v>14</v>
      </c>
      <c r="P5" s="69">
        <v>15</v>
      </c>
      <c r="Q5" s="69">
        <v>16</v>
      </c>
      <c r="R5" s="69">
        <v>17</v>
      </c>
      <c r="S5" s="69">
        <v>18</v>
      </c>
    </row>
    <row r="6" spans="1:19" ht="12.75">
      <c r="A6" s="61" t="s">
        <v>0</v>
      </c>
      <c r="B6" s="85">
        <v>368.262</v>
      </c>
      <c r="C6" s="59">
        <v>0</v>
      </c>
      <c r="D6" s="2">
        <f aca="true" t="shared" si="0" ref="D6:D25">B6+C6</f>
        <v>368.262</v>
      </c>
      <c r="E6" s="67">
        <v>0.0611</v>
      </c>
      <c r="F6" s="20">
        <f aca="true" t="shared" si="1" ref="F6:F25">D6*E6</f>
        <v>22.5008082</v>
      </c>
      <c r="G6" s="80">
        <f aca="true" t="shared" si="2" ref="G6:G12">B6*14.49/1050.67</f>
        <v>5.078774857947786</v>
      </c>
      <c r="H6" s="80">
        <f aca="true" t="shared" si="3" ref="H6:H25">C6*13.98/1050.67</f>
        <v>0</v>
      </c>
      <c r="I6" s="65">
        <f aca="true" t="shared" si="4" ref="I6:I25">F6+G6+H6</f>
        <v>27.579583057947787</v>
      </c>
      <c r="J6" s="62">
        <v>1050.67</v>
      </c>
      <c r="K6" s="2">
        <f aca="true" t="shared" si="5" ref="K6:K25">I6*J6</f>
        <v>28977.040531494004</v>
      </c>
      <c r="L6" s="111">
        <f aca="true" t="shared" si="6" ref="L6:L25">D6</f>
        <v>368.262</v>
      </c>
      <c r="M6" s="186">
        <f aca="true" t="shared" si="7" ref="M6:M25">K6/L6</f>
        <v>78.68593700000001</v>
      </c>
      <c r="N6" s="85">
        <v>210.426</v>
      </c>
      <c r="O6" s="20">
        <f aca="true" t="shared" si="8" ref="O6:O25">G6+H6+N6</f>
        <v>215.50477485794778</v>
      </c>
      <c r="P6" s="65">
        <f aca="true" t="shared" si="9" ref="P6:P25">O6-I6</f>
        <v>187.9251918</v>
      </c>
      <c r="Q6" s="58">
        <v>9290.5</v>
      </c>
      <c r="R6" s="1">
        <f aca="true" t="shared" si="10" ref="R6:R26">P6*J6</f>
        <v>197447.361268506</v>
      </c>
      <c r="S6" s="4">
        <f aca="true" t="shared" si="11" ref="S6:S26">R6/Q6</f>
        <v>21.252608715193585</v>
      </c>
    </row>
    <row r="7" spans="1:19" ht="12.75">
      <c r="A7" s="61" t="s">
        <v>1</v>
      </c>
      <c r="B7" s="85">
        <v>39.065</v>
      </c>
      <c r="C7" s="59">
        <v>1051</v>
      </c>
      <c r="D7" s="2">
        <f t="shared" si="0"/>
        <v>1090.065</v>
      </c>
      <c r="E7" s="67">
        <v>0.0591</v>
      </c>
      <c r="F7" s="20">
        <f t="shared" si="1"/>
        <v>64.4228415</v>
      </c>
      <c r="G7" s="80">
        <f t="shared" si="2"/>
        <v>0.5387532241331721</v>
      </c>
      <c r="H7" s="80">
        <f t="shared" si="3"/>
        <v>13.984390912465377</v>
      </c>
      <c r="I7" s="65">
        <f t="shared" si="4"/>
        <v>78.94598563659855</v>
      </c>
      <c r="J7" s="62">
        <v>1050.67</v>
      </c>
      <c r="K7" s="2">
        <f t="shared" si="5"/>
        <v>82946.17872880501</v>
      </c>
      <c r="L7" s="111">
        <f t="shared" si="6"/>
        <v>1090.065</v>
      </c>
      <c r="M7" s="186">
        <f t="shared" si="7"/>
        <v>76.09287402935146</v>
      </c>
      <c r="N7" s="85">
        <v>264.682</v>
      </c>
      <c r="O7" s="20">
        <f t="shared" si="8"/>
        <v>279.20514413659856</v>
      </c>
      <c r="P7" s="65">
        <f t="shared" si="9"/>
        <v>200.2591585</v>
      </c>
      <c r="Q7" s="58">
        <v>9725.3</v>
      </c>
      <c r="R7" s="1">
        <f t="shared" si="10"/>
        <v>210406.29006119503</v>
      </c>
      <c r="S7" s="4">
        <f t="shared" si="11"/>
        <v>21.634940830739932</v>
      </c>
    </row>
    <row r="8" spans="1:19" ht="12.75">
      <c r="A8" s="61" t="s">
        <v>2</v>
      </c>
      <c r="B8" s="85">
        <v>22.688</v>
      </c>
      <c r="C8" s="59">
        <v>578</v>
      </c>
      <c r="D8" s="2">
        <f t="shared" si="0"/>
        <v>600.688</v>
      </c>
      <c r="E8" s="67">
        <v>0.0597</v>
      </c>
      <c r="F8" s="20">
        <f t="shared" si="1"/>
        <v>35.861073600000005</v>
      </c>
      <c r="G8" s="80">
        <f t="shared" si="2"/>
        <v>0.3128947433542406</v>
      </c>
      <c r="H8" s="80">
        <f t="shared" si="3"/>
        <v>7.6907497120884765</v>
      </c>
      <c r="I8" s="65">
        <f t="shared" si="4"/>
        <v>43.86471805544272</v>
      </c>
      <c r="J8" s="62">
        <v>1050.67</v>
      </c>
      <c r="K8" s="2">
        <f t="shared" si="5"/>
        <v>46087.34331931201</v>
      </c>
      <c r="L8" s="53">
        <f t="shared" si="6"/>
        <v>600.688</v>
      </c>
      <c r="M8" s="186">
        <f t="shared" si="7"/>
        <v>76.72426171209015</v>
      </c>
      <c r="N8" s="85">
        <v>176.56</v>
      </c>
      <c r="O8" s="20">
        <f t="shared" si="8"/>
        <v>184.56364445544273</v>
      </c>
      <c r="P8" s="65">
        <f t="shared" si="9"/>
        <v>140.6989264</v>
      </c>
      <c r="Q8" s="58">
        <v>6610</v>
      </c>
      <c r="R8" s="1">
        <f t="shared" si="10"/>
        <v>147828.14100068802</v>
      </c>
      <c r="S8" s="4">
        <f t="shared" si="11"/>
        <v>22.364317851843875</v>
      </c>
    </row>
    <row r="9" spans="1:19" ht="12.75">
      <c r="A9" s="61" t="s">
        <v>3</v>
      </c>
      <c r="B9" s="85">
        <v>413.746</v>
      </c>
      <c r="C9" s="59">
        <v>0</v>
      </c>
      <c r="D9" s="2">
        <f t="shared" si="0"/>
        <v>413.746</v>
      </c>
      <c r="E9" s="67">
        <v>0.0621</v>
      </c>
      <c r="F9" s="20">
        <f t="shared" si="1"/>
        <v>25.693626599999998</v>
      </c>
      <c r="G9" s="80">
        <f t="shared" si="2"/>
        <v>5.706053794245577</v>
      </c>
      <c r="H9" s="80">
        <f t="shared" si="3"/>
        <v>0</v>
      </c>
      <c r="I9" s="65">
        <f t="shared" si="4"/>
        <v>31.399680394245575</v>
      </c>
      <c r="J9" s="62">
        <v>1050.67</v>
      </c>
      <c r="K9" s="2">
        <f t="shared" si="5"/>
        <v>32990.702199822</v>
      </c>
      <c r="L9" s="53">
        <f t="shared" si="6"/>
        <v>413.746</v>
      </c>
      <c r="M9" s="186">
        <f t="shared" si="7"/>
        <v>79.736607</v>
      </c>
      <c r="N9" s="85">
        <v>182.689</v>
      </c>
      <c r="O9" s="20">
        <f t="shared" si="8"/>
        <v>188.39505379424557</v>
      </c>
      <c r="P9" s="65">
        <f t="shared" si="9"/>
        <v>156.9953734</v>
      </c>
      <c r="Q9" s="58">
        <v>6343.9</v>
      </c>
      <c r="R9" s="1">
        <f t="shared" si="10"/>
        <v>164950.32897017803</v>
      </c>
      <c r="S9" s="4">
        <f t="shared" si="11"/>
        <v>26.001407489112065</v>
      </c>
    </row>
    <row r="10" spans="1:19" ht="12.75">
      <c r="A10" s="61" t="s">
        <v>4</v>
      </c>
      <c r="B10" s="85">
        <v>457.529</v>
      </c>
      <c r="C10" s="59">
        <v>0</v>
      </c>
      <c r="D10" s="2">
        <f t="shared" si="0"/>
        <v>457.529</v>
      </c>
      <c r="E10" s="67">
        <v>0.0593</v>
      </c>
      <c r="F10" s="20">
        <f t="shared" si="1"/>
        <v>27.1314697</v>
      </c>
      <c r="G10" s="80">
        <f t="shared" si="2"/>
        <v>6.30987389951174</v>
      </c>
      <c r="H10" s="80">
        <f t="shared" si="3"/>
        <v>0</v>
      </c>
      <c r="I10" s="65">
        <f t="shared" si="4"/>
        <v>33.44134359951174</v>
      </c>
      <c r="J10" s="62">
        <v>1050.67</v>
      </c>
      <c r="K10" s="2">
        <f t="shared" si="5"/>
        <v>35135.816479699</v>
      </c>
      <c r="L10" s="53">
        <f t="shared" si="6"/>
        <v>457.529</v>
      </c>
      <c r="M10" s="186">
        <f t="shared" si="7"/>
        <v>76.794731</v>
      </c>
      <c r="N10" s="85">
        <v>142.247</v>
      </c>
      <c r="O10" s="20">
        <f t="shared" si="8"/>
        <v>148.55687389951174</v>
      </c>
      <c r="P10" s="65">
        <f t="shared" si="9"/>
        <v>115.1155303</v>
      </c>
      <c r="Q10" s="58">
        <v>5989.7</v>
      </c>
      <c r="R10" s="1">
        <f t="shared" si="10"/>
        <v>120948.43422030102</v>
      </c>
      <c r="S10" s="4">
        <f t="shared" si="11"/>
        <v>20.192736567824937</v>
      </c>
    </row>
    <row r="11" spans="1:19" ht="12.75">
      <c r="A11" s="61" t="s">
        <v>5</v>
      </c>
      <c r="B11" s="85">
        <v>408.074</v>
      </c>
      <c r="C11" s="59">
        <v>0</v>
      </c>
      <c r="D11" s="2">
        <f t="shared" si="0"/>
        <v>408.074</v>
      </c>
      <c r="E11" s="67">
        <v>0.0629</v>
      </c>
      <c r="F11" s="20">
        <f t="shared" si="1"/>
        <v>25.6678546</v>
      </c>
      <c r="G11" s="80">
        <f t="shared" si="2"/>
        <v>5.627830108407016</v>
      </c>
      <c r="H11" s="80">
        <f t="shared" si="3"/>
        <v>0</v>
      </c>
      <c r="I11" s="65">
        <f t="shared" si="4"/>
        <v>31.295684708407016</v>
      </c>
      <c r="J11" s="62">
        <v>1050.67</v>
      </c>
      <c r="K11" s="2">
        <f t="shared" si="5"/>
        <v>32881.437052582005</v>
      </c>
      <c r="L11" s="53">
        <f t="shared" si="6"/>
        <v>408.074</v>
      </c>
      <c r="M11" s="186">
        <f t="shared" si="7"/>
        <v>80.577143</v>
      </c>
      <c r="N11" s="85">
        <v>161.762</v>
      </c>
      <c r="O11" s="20">
        <f t="shared" si="8"/>
        <v>167.389830108407</v>
      </c>
      <c r="P11" s="65">
        <f t="shared" si="9"/>
        <v>136.0941454</v>
      </c>
      <c r="Q11" s="58">
        <v>5514.4</v>
      </c>
      <c r="R11" s="1">
        <f t="shared" si="10"/>
        <v>142990.035747418</v>
      </c>
      <c r="S11" s="4">
        <f t="shared" si="11"/>
        <v>25.930298082732122</v>
      </c>
    </row>
    <row r="12" spans="1:19" ht="12.75">
      <c r="A12" s="61" t="s">
        <v>6</v>
      </c>
      <c r="B12" s="85">
        <v>341.449</v>
      </c>
      <c r="C12" s="59">
        <v>0</v>
      </c>
      <c r="D12" s="2">
        <f t="shared" si="0"/>
        <v>341.449</v>
      </c>
      <c r="E12" s="67">
        <v>0.0608</v>
      </c>
      <c r="F12" s="20">
        <f t="shared" si="1"/>
        <v>20.7600992</v>
      </c>
      <c r="G12" s="80">
        <f t="shared" si="2"/>
        <v>4.708991415001856</v>
      </c>
      <c r="H12" s="80">
        <f t="shared" si="3"/>
        <v>0</v>
      </c>
      <c r="I12" s="65">
        <f t="shared" si="4"/>
        <v>25.469090615001853</v>
      </c>
      <c r="J12" s="62">
        <v>1050.67</v>
      </c>
      <c r="K12" s="2">
        <f t="shared" si="5"/>
        <v>26759.609436463998</v>
      </c>
      <c r="L12" s="53">
        <f t="shared" si="6"/>
        <v>341.449</v>
      </c>
      <c r="M12" s="186">
        <f t="shared" si="7"/>
        <v>78.370736</v>
      </c>
      <c r="N12" s="85">
        <v>166.134</v>
      </c>
      <c r="O12" s="20">
        <f t="shared" si="8"/>
        <v>170.84299141500185</v>
      </c>
      <c r="P12" s="65">
        <f t="shared" si="9"/>
        <v>145.3739008</v>
      </c>
      <c r="Q12" s="58">
        <v>7253</v>
      </c>
      <c r="R12" s="1">
        <f t="shared" si="10"/>
        <v>152739.996353536</v>
      </c>
      <c r="S12" s="4">
        <f t="shared" si="11"/>
        <v>21.058871688065075</v>
      </c>
    </row>
    <row r="13" spans="1:19" ht="12.75">
      <c r="A13" s="61" t="s">
        <v>7</v>
      </c>
      <c r="B13" s="85">
        <v>1.663</v>
      </c>
      <c r="C13" s="59">
        <v>0</v>
      </c>
      <c r="D13" s="2">
        <f t="shared" si="0"/>
        <v>1.663</v>
      </c>
      <c r="E13" s="67">
        <v>0.0617</v>
      </c>
      <c r="F13" s="20">
        <f t="shared" si="1"/>
        <v>0.10260709999999999</v>
      </c>
      <c r="G13" s="80">
        <f>B13*14.49/1348.12</f>
        <v>0.01787442512535976</v>
      </c>
      <c r="H13" s="80">
        <f t="shared" si="3"/>
        <v>0</v>
      </c>
      <c r="I13" s="65">
        <f t="shared" si="4"/>
        <v>0.12048152512535976</v>
      </c>
      <c r="J13" s="62">
        <v>1590.78</v>
      </c>
      <c r="K13" s="2">
        <f t="shared" si="5"/>
        <v>191.6596005389198</v>
      </c>
      <c r="L13" s="53">
        <f t="shared" si="6"/>
        <v>1.663</v>
      </c>
      <c r="M13" s="186">
        <f t="shared" si="7"/>
        <v>115.24930880271785</v>
      </c>
      <c r="N13" s="85">
        <v>19.933</v>
      </c>
      <c r="O13" s="20">
        <f t="shared" si="8"/>
        <v>19.95087442512536</v>
      </c>
      <c r="P13" s="65">
        <f t="shared" si="9"/>
        <v>19.8303929</v>
      </c>
      <c r="Q13" s="58">
        <v>760.9</v>
      </c>
      <c r="R13" s="1">
        <f t="shared" si="10"/>
        <v>31545.792417462</v>
      </c>
      <c r="S13" s="4">
        <f t="shared" si="11"/>
        <v>41.45852597905375</v>
      </c>
    </row>
    <row r="14" spans="1:19" ht="12.75">
      <c r="A14" s="61" t="s">
        <v>8</v>
      </c>
      <c r="B14" s="85">
        <v>288.336</v>
      </c>
      <c r="C14" s="59">
        <v>0</v>
      </c>
      <c r="D14" s="2">
        <f t="shared" si="0"/>
        <v>288.336</v>
      </c>
      <c r="E14" s="67">
        <v>0.0609</v>
      </c>
      <c r="F14" s="20">
        <f t="shared" si="1"/>
        <v>17.5596624</v>
      </c>
      <c r="G14" s="80">
        <f aca="true" t="shared" si="12" ref="G14:G25">B14*14.49/1050.67</f>
        <v>3.9764994146592176</v>
      </c>
      <c r="H14" s="80">
        <f t="shared" si="3"/>
        <v>0</v>
      </c>
      <c r="I14" s="65">
        <f t="shared" si="4"/>
        <v>21.536161814659216</v>
      </c>
      <c r="J14" s="62">
        <v>1050.67</v>
      </c>
      <c r="K14" s="2">
        <f t="shared" si="5"/>
        <v>22627.399133808</v>
      </c>
      <c r="L14" s="53">
        <f t="shared" si="6"/>
        <v>288.336</v>
      </c>
      <c r="M14" s="186">
        <f t="shared" si="7"/>
        <v>78.475803</v>
      </c>
      <c r="N14" s="85">
        <v>113.568</v>
      </c>
      <c r="O14" s="20">
        <f t="shared" si="8"/>
        <v>117.54449941465921</v>
      </c>
      <c r="P14" s="65">
        <f t="shared" si="9"/>
        <v>96.0083376</v>
      </c>
      <c r="Q14" s="58">
        <v>3718.8</v>
      </c>
      <c r="R14" s="1">
        <f t="shared" si="10"/>
        <v>100873.08006619201</v>
      </c>
      <c r="S14" s="4">
        <f t="shared" si="11"/>
        <v>27.125169427286224</v>
      </c>
    </row>
    <row r="15" spans="1:19" ht="12.75">
      <c r="A15" s="61" t="s">
        <v>9</v>
      </c>
      <c r="B15" s="85">
        <v>375.056</v>
      </c>
      <c r="C15" s="59">
        <v>0</v>
      </c>
      <c r="D15" s="2">
        <f t="shared" si="0"/>
        <v>375.056</v>
      </c>
      <c r="E15" s="67">
        <v>0.0614</v>
      </c>
      <c r="F15" s="20">
        <f t="shared" si="1"/>
        <v>23.0284384</v>
      </c>
      <c r="G15" s="80">
        <f t="shared" si="12"/>
        <v>5.172472270075285</v>
      </c>
      <c r="H15" s="80">
        <f t="shared" si="3"/>
        <v>0</v>
      </c>
      <c r="I15" s="65">
        <f t="shared" si="4"/>
        <v>28.200910670075285</v>
      </c>
      <c r="J15" s="62">
        <v>1050.67</v>
      </c>
      <c r="K15" s="2">
        <f t="shared" si="5"/>
        <v>29629.850813728</v>
      </c>
      <c r="L15" s="53">
        <f t="shared" si="6"/>
        <v>375.056</v>
      </c>
      <c r="M15" s="186">
        <f t="shared" si="7"/>
        <v>79.00113800000001</v>
      </c>
      <c r="N15" s="85">
        <v>265.315</v>
      </c>
      <c r="O15" s="20">
        <f t="shared" si="8"/>
        <v>270.4874722700753</v>
      </c>
      <c r="P15" s="65">
        <f t="shared" si="9"/>
        <v>242.2865616</v>
      </c>
      <c r="Q15" s="58">
        <v>9274.6</v>
      </c>
      <c r="R15" s="1">
        <f t="shared" si="10"/>
        <v>254563.22167627202</v>
      </c>
      <c r="S15" s="4">
        <f t="shared" si="11"/>
        <v>27.447353166311434</v>
      </c>
    </row>
    <row r="16" spans="1:19" ht="12.75">
      <c r="A16" s="61" t="s">
        <v>10</v>
      </c>
      <c r="B16" s="85">
        <v>452.204</v>
      </c>
      <c r="C16" s="59">
        <v>0</v>
      </c>
      <c r="D16" s="2">
        <f t="shared" si="0"/>
        <v>452.204</v>
      </c>
      <c r="E16" s="67">
        <v>0.0594</v>
      </c>
      <c r="F16" s="20">
        <f t="shared" si="1"/>
        <v>26.8609176</v>
      </c>
      <c r="G16" s="80">
        <f t="shared" si="12"/>
        <v>6.236435760038832</v>
      </c>
      <c r="H16" s="80">
        <f t="shared" si="3"/>
        <v>0</v>
      </c>
      <c r="I16" s="65">
        <f t="shared" si="4"/>
        <v>33.09735336003883</v>
      </c>
      <c r="J16" s="62">
        <v>1050.67</v>
      </c>
      <c r="K16" s="2">
        <f t="shared" si="5"/>
        <v>34774.396254792</v>
      </c>
      <c r="L16" s="53">
        <f t="shared" si="6"/>
        <v>452.204</v>
      </c>
      <c r="M16" s="186">
        <f t="shared" si="7"/>
        <v>76.899798</v>
      </c>
      <c r="N16" s="85">
        <v>138.702</v>
      </c>
      <c r="O16" s="20">
        <f t="shared" si="8"/>
        <v>144.93843576003883</v>
      </c>
      <c r="P16" s="65">
        <f t="shared" si="9"/>
        <v>111.8410824</v>
      </c>
      <c r="Q16" s="58">
        <v>5981.3</v>
      </c>
      <c r="R16" s="1">
        <f t="shared" si="10"/>
        <v>117508.07004520802</v>
      </c>
      <c r="S16" s="4">
        <f t="shared" si="11"/>
        <v>19.645908087741464</v>
      </c>
    </row>
    <row r="17" spans="1:19" ht="12.75">
      <c r="A17" s="61" t="s">
        <v>11</v>
      </c>
      <c r="B17" s="85">
        <v>309.655</v>
      </c>
      <c r="C17" s="59">
        <v>0</v>
      </c>
      <c r="D17" s="2">
        <f t="shared" si="0"/>
        <v>309.655</v>
      </c>
      <c r="E17" s="67">
        <v>0.0612</v>
      </c>
      <c r="F17" s="20">
        <f t="shared" si="1"/>
        <v>18.950885999999997</v>
      </c>
      <c r="G17" s="80">
        <f t="shared" si="12"/>
        <v>4.270514005348967</v>
      </c>
      <c r="H17" s="80">
        <f t="shared" si="3"/>
        <v>0</v>
      </c>
      <c r="I17" s="65">
        <f t="shared" si="4"/>
        <v>23.221400005348965</v>
      </c>
      <c r="J17" s="62">
        <v>1050.67</v>
      </c>
      <c r="K17" s="2">
        <f t="shared" si="5"/>
        <v>24398.028343619997</v>
      </c>
      <c r="L17" s="53">
        <f t="shared" si="6"/>
        <v>309.655</v>
      </c>
      <c r="M17" s="186">
        <f t="shared" si="7"/>
        <v>78.791004</v>
      </c>
      <c r="N17" s="85">
        <v>100.439</v>
      </c>
      <c r="O17" s="20">
        <f t="shared" si="8"/>
        <v>104.70951400534896</v>
      </c>
      <c r="P17" s="65">
        <f t="shared" si="9"/>
        <v>81.488114</v>
      </c>
      <c r="Q17" s="58">
        <v>3323</v>
      </c>
      <c r="R17" s="1">
        <f t="shared" si="10"/>
        <v>85617.11673638</v>
      </c>
      <c r="S17" s="4">
        <f t="shared" si="11"/>
        <v>25.765006541191696</v>
      </c>
    </row>
    <row r="18" spans="1:19" ht="12.75">
      <c r="A18" s="61" t="s">
        <v>12</v>
      </c>
      <c r="B18" s="85">
        <v>998.187</v>
      </c>
      <c r="C18" s="59">
        <v>0</v>
      </c>
      <c r="D18" s="2">
        <f t="shared" si="0"/>
        <v>998.187</v>
      </c>
      <c r="E18" s="67">
        <v>0.0609</v>
      </c>
      <c r="F18" s="20">
        <f t="shared" si="1"/>
        <v>60.789588300000005</v>
      </c>
      <c r="G18" s="80">
        <f t="shared" si="12"/>
        <v>13.766196455595</v>
      </c>
      <c r="H18" s="80">
        <f t="shared" si="3"/>
        <v>0</v>
      </c>
      <c r="I18" s="65">
        <f t="shared" si="4"/>
        <v>74.555784755595</v>
      </c>
      <c r="J18" s="62">
        <v>1050.67</v>
      </c>
      <c r="K18" s="2">
        <f t="shared" si="5"/>
        <v>78333.526369161</v>
      </c>
      <c r="L18" s="53">
        <f t="shared" si="6"/>
        <v>998.187</v>
      </c>
      <c r="M18" s="186">
        <f t="shared" si="7"/>
        <v>78.475803</v>
      </c>
      <c r="N18" s="85">
        <v>206.809</v>
      </c>
      <c r="O18" s="20">
        <f t="shared" si="8"/>
        <v>220.575196455595</v>
      </c>
      <c r="P18" s="65">
        <f t="shared" si="9"/>
        <v>146.0194117</v>
      </c>
      <c r="Q18" s="58">
        <v>6355.1</v>
      </c>
      <c r="R18" s="1">
        <f t="shared" si="10"/>
        <v>153418.21529083903</v>
      </c>
      <c r="S18" s="4">
        <f t="shared" si="11"/>
        <v>24.140960062129473</v>
      </c>
    </row>
    <row r="19" spans="1:20" s="98" customFormat="1" ht="12.75">
      <c r="A19" s="61" t="s">
        <v>13</v>
      </c>
      <c r="B19" s="85">
        <v>673.365</v>
      </c>
      <c r="C19" s="59">
        <v>0</v>
      </c>
      <c r="D19" s="2">
        <f t="shared" si="0"/>
        <v>673.365</v>
      </c>
      <c r="E19" s="67">
        <v>0.061</v>
      </c>
      <c r="F19" s="20">
        <f t="shared" si="1"/>
        <v>41.075265</v>
      </c>
      <c r="G19" s="80">
        <f t="shared" si="12"/>
        <v>9.28651132134733</v>
      </c>
      <c r="H19" s="80">
        <f t="shared" si="3"/>
        <v>0</v>
      </c>
      <c r="I19" s="65">
        <f t="shared" si="4"/>
        <v>50.361776321347335</v>
      </c>
      <c r="J19" s="62">
        <v>1050.67</v>
      </c>
      <c r="K19" s="2">
        <f t="shared" si="5"/>
        <v>52913.60752755001</v>
      </c>
      <c r="L19" s="53">
        <f t="shared" si="6"/>
        <v>673.365</v>
      </c>
      <c r="M19" s="186">
        <f t="shared" si="7"/>
        <v>78.58087000000002</v>
      </c>
      <c r="N19" s="85">
        <v>172.941</v>
      </c>
      <c r="O19" s="20">
        <f t="shared" si="8"/>
        <v>182.22751132134732</v>
      </c>
      <c r="P19" s="65">
        <f t="shared" si="9"/>
        <v>131.86573499999997</v>
      </c>
      <c r="Q19" s="96">
        <v>4183.8</v>
      </c>
      <c r="R19" s="97">
        <f t="shared" si="10"/>
        <v>138547.37179245</v>
      </c>
      <c r="S19" s="25">
        <f t="shared" si="11"/>
        <v>33.11519952972178</v>
      </c>
      <c r="T19"/>
    </row>
    <row r="20" spans="1:19" ht="12.75">
      <c r="A20" s="61" t="s">
        <v>14</v>
      </c>
      <c r="B20" s="85">
        <v>371.323</v>
      </c>
      <c r="C20" s="59">
        <v>0</v>
      </c>
      <c r="D20" s="2">
        <f t="shared" si="0"/>
        <v>371.323</v>
      </c>
      <c r="E20" s="67">
        <v>0.0596</v>
      </c>
      <c r="F20" s="20">
        <f t="shared" si="1"/>
        <v>22.130850799999997</v>
      </c>
      <c r="G20" s="80">
        <f t="shared" si="12"/>
        <v>5.120989720844793</v>
      </c>
      <c r="H20" s="80">
        <f t="shared" si="3"/>
        <v>0</v>
      </c>
      <c r="I20" s="65">
        <f t="shared" si="4"/>
        <v>27.25184052084479</v>
      </c>
      <c r="J20" s="62">
        <v>1050.67</v>
      </c>
      <c r="K20" s="2">
        <f t="shared" si="5"/>
        <v>28632.691280035997</v>
      </c>
      <c r="L20" s="53">
        <f t="shared" si="6"/>
        <v>371.323</v>
      </c>
      <c r="M20" s="186">
        <f t="shared" si="7"/>
        <v>77.109932</v>
      </c>
      <c r="N20" s="85">
        <v>104.142</v>
      </c>
      <c r="O20" s="20">
        <f t="shared" si="8"/>
        <v>109.26298972084479</v>
      </c>
      <c r="P20" s="65">
        <f t="shared" si="9"/>
        <v>82.01114919999999</v>
      </c>
      <c r="Q20" s="58">
        <v>3908.1</v>
      </c>
      <c r="R20" s="1">
        <f t="shared" si="10"/>
        <v>86166.654129964</v>
      </c>
      <c r="S20" s="4">
        <f t="shared" si="11"/>
        <v>22.048221419606456</v>
      </c>
    </row>
    <row r="21" spans="1:19" ht="12.75">
      <c r="A21" s="61" t="s">
        <v>15</v>
      </c>
      <c r="B21" s="85">
        <v>421.769</v>
      </c>
      <c r="C21" s="59">
        <v>0</v>
      </c>
      <c r="D21" s="2">
        <f t="shared" si="0"/>
        <v>421.769</v>
      </c>
      <c r="E21" s="67">
        <v>0.061</v>
      </c>
      <c r="F21" s="20">
        <f t="shared" si="1"/>
        <v>25.727909</v>
      </c>
      <c r="G21" s="80">
        <f t="shared" si="12"/>
        <v>5.816700591051424</v>
      </c>
      <c r="H21" s="80">
        <f t="shared" si="3"/>
        <v>0</v>
      </c>
      <c r="I21" s="65">
        <f t="shared" si="4"/>
        <v>31.544609591051426</v>
      </c>
      <c r="J21" s="62">
        <v>1050.67</v>
      </c>
      <c r="K21" s="2">
        <f t="shared" si="5"/>
        <v>33142.974959030005</v>
      </c>
      <c r="L21" s="53">
        <f t="shared" si="6"/>
        <v>421.769</v>
      </c>
      <c r="M21" s="186">
        <f t="shared" si="7"/>
        <v>78.58087</v>
      </c>
      <c r="N21" s="85">
        <v>179.434</v>
      </c>
      <c r="O21" s="20">
        <f t="shared" si="8"/>
        <v>185.2507005910514</v>
      </c>
      <c r="P21" s="65">
        <f t="shared" si="9"/>
        <v>153.706091</v>
      </c>
      <c r="Q21" s="58">
        <v>5485.5</v>
      </c>
      <c r="R21" s="1">
        <f t="shared" si="10"/>
        <v>161494.37863097</v>
      </c>
      <c r="S21" s="4">
        <f t="shared" si="11"/>
        <v>29.44022944690001</v>
      </c>
    </row>
    <row r="22" spans="1:19" ht="12.75">
      <c r="A22" s="61" t="s">
        <v>16</v>
      </c>
      <c r="B22" s="85">
        <v>406.521</v>
      </c>
      <c r="C22" s="59">
        <v>0</v>
      </c>
      <c r="D22" s="2">
        <f t="shared" si="0"/>
        <v>406.521</v>
      </c>
      <c r="E22" s="67">
        <v>0.0613</v>
      </c>
      <c r="F22" s="20">
        <f t="shared" si="1"/>
        <v>24.9197373</v>
      </c>
      <c r="G22" s="80">
        <f t="shared" si="12"/>
        <v>5.6064123749607395</v>
      </c>
      <c r="H22" s="80">
        <f t="shared" si="3"/>
        <v>0</v>
      </c>
      <c r="I22" s="65">
        <f t="shared" si="4"/>
        <v>30.52614967496074</v>
      </c>
      <c r="J22" s="62">
        <v>1050.67</v>
      </c>
      <c r="K22" s="2">
        <f t="shared" si="5"/>
        <v>32072.909678991004</v>
      </c>
      <c r="L22" s="53">
        <f t="shared" si="6"/>
        <v>406.521</v>
      </c>
      <c r="M22" s="186">
        <f t="shared" si="7"/>
        <v>78.896071</v>
      </c>
      <c r="N22" s="85">
        <v>139.605</v>
      </c>
      <c r="O22" s="20">
        <f t="shared" si="8"/>
        <v>145.21141237496073</v>
      </c>
      <c r="P22" s="65">
        <f t="shared" si="9"/>
        <v>114.68526269999998</v>
      </c>
      <c r="Q22" s="58">
        <v>4673.4</v>
      </c>
      <c r="R22" s="1">
        <f t="shared" si="10"/>
        <v>120496.36496100899</v>
      </c>
      <c r="S22" s="4">
        <f t="shared" si="11"/>
        <v>25.78344780267236</v>
      </c>
    </row>
    <row r="23" spans="1:19" ht="12.75">
      <c r="A23" s="61" t="s">
        <v>42</v>
      </c>
      <c r="B23" s="85">
        <v>0</v>
      </c>
      <c r="C23" s="59">
        <v>323</v>
      </c>
      <c r="D23" s="2">
        <f t="shared" si="0"/>
        <v>323</v>
      </c>
      <c r="E23" s="67">
        <v>0.0616</v>
      </c>
      <c r="F23" s="20">
        <f t="shared" si="1"/>
        <v>19.8968</v>
      </c>
      <c r="G23" s="80">
        <f t="shared" si="12"/>
        <v>0</v>
      </c>
      <c r="H23" s="80">
        <f t="shared" si="3"/>
        <v>4.297771897931796</v>
      </c>
      <c r="I23" s="65">
        <f t="shared" si="4"/>
        <v>24.194571897931795</v>
      </c>
      <c r="J23" s="62">
        <v>1050.67</v>
      </c>
      <c r="K23" s="2">
        <f t="shared" si="5"/>
        <v>25420.510856</v>
      </c>
      <c r="L23" s="53">
        <f t="shared" si="6"/>
        <v>323</v>
      </c>
      <c r="M23" s="186">
        <f t="shared" si="7"/>
        <v>78.701272</v>
      </c>
      <c r="N23" s="85">
        <v>130.19</v>
      </c>
      <c r="O23" s="20">
        <f t="shared" si="8"/>
        <v>134.4877718979318</v>
      </c>
      <c r="P23" s="65">
        <f t="shared" si="9"/>
        <v>110.2932</v>
      </c>
      <c r="Q23" s="58">
        <v>6616.4</v>
      </c>
      <c r="R23" s="1">
        <f t="shared" si="10"/>
        <v>115881.75644400001</v>
      </c>
      <c r="S23" s="4">
        <f t="shared" si="11"/>
        <v>17.514321450335533</v>
      </c>
    </row>
    <row r="24" spans="1:19" ht="12.75">
      <c r="A24" s="61" t="s">
        <v>49</v>
      </c>
      <c r="B24" s="85">
        <v>353.153</v>
      </c>
      <c r="C24" s="59">
        <v>0</v>
      </c>
      <c r="D24" s="2">
        <f t="shared" si="0"/>
        <v>353.153</v>
      </c>
      <c r="E24" s="67">
        <v>0.0623</v>
      </c>
      <c r="F24" s="20">
        <f t="shared" si="1"/>
        <v>22.0014319</v>
      </c>
      <c r="G24" s="80">
        <f t="shared" si="12"/>
        <v>4.870403618643342</v>
      </c>
      <c r="H24" s="80">
        <f t="shared" si="3"/>
        <v>0</v>
      </c>
      <c r="I24" s="65">
        <f t="shared" si="4"/>
        <v>26.871835518643344</v>
      </c>
      <c r="J24" s="62">
        <v>1050.67</v>
      </c>
      <c r="K24" s="2">
        <f t="shared" si="5"/>
        <v>28233.431424373004</v>
      </c>
      <c r="L24" s="53">
        <f t="shared" si="6"/>
        <v>353.153</v>
      </c>
      <c r="M24" s="186">
        <f t="shared" si="7"/>
        <v>79.946741</v>
      </c>
      <c r="N24" s="85">
        <v>27.484</v>
      </c>
      <c r="O24" s="20">
        <f t="shared" si="8"/>
        <v>32.354403618643346</v>
      </c>
      <c r="P24" s="65">
        <f t="shared" si="9"/>
        <v>5.482568100000002</v>
      </c>
      <c r="Q24" s="58">
        <v>663.9</v>
      </c>
      <c r="R24" s="1">
        <f t="shared" si="10"/>
        <v>5760.369825627002</v>
      </c>
      <c r="S24" s="4">
        <f t="shared" si="11"/>
        <v>8.676562472702217</v>
      </c>
    </row>
    <row r="25" spans="1:19" ht="12.75">
      <c r="A25" s="61" t="s">
        <v>97</v>
      </c>
      <c r="B25" s="85">
        <v>41.799</v>
      </c>
      <c r="C25" s="59">
        <v>83</v>
      </c>
      <c r="D25" s="2">
        <f t="shared" si="0"/>
        <v>124.799</v>
      </c>
      <c r="E25" s="67">
        <v>0.0629</v>
      </c>
      <c r="F25" s="20">
        <f t="shared" si="1"/>
        <v>7.8498571</v>
      </c>
      <c r="G25" s="80">
        <f t="shared" si="12"/>
        <v>0.5764583646625486</v>
      </c>
      <c r="H25" s="80">
        <f t="shared" si="3"/>
        <v>1.1043810140196257</v>
      </c>
      <c r="I25" s="65">
        <f t="shared" si="4"/>
        <v>9.530696478682176</v>
      </c>
      <c r="J25" s="62">
        <v>1050.67</v>
      </c>
      <c r="K25" s="2">
        <f t="shared" si="5"/>
        <v>10013.616869257003</v>
      </c>
      <c r="L25" s="53">
        <f t="shared" si="6"/>
        <v>124.799</v>
      </c>
      <c r="M25" s="186">
        <f t="shared" si="7"/>
        <v>80.23795758986051</v>
      </c>
      <c r="N25" s="85">
        <v>69.49</v>
      </c>
      <c r="O25" s="20">
        <f t="shared" si="8"/>
        <v>71.17083937868217</v>
      </c>
      <c r="P25" s="65">
        <f t="shared" si="9"/>
        <v>61.6401429</v>
      </c>
      <c r="Q25" s="58">
        <v>2905.2</v>
      </c>
      <c r="R25" s="1">
        <f t="shared" si="10"/>
        <v>64763.44894074301</v>
      </c>
      <c r="S25" s="4">
        <f t="shared" si="11"/>
        <v>22.29225145970777</v>
      </c>
    </row>
    <row r="26" spans="1:19" ht="12.75">
      <c r="A26" s="73" t="s">
        <v>17</v>
      </c>
      <c r="B26" s="88">
        <f aca="true" t="shared" si="13" ref="B26:I26">SUM(B6:B25)</f>
        <v>6743.844</v>
      </c>
      <c r="C26" s="74">
        <f t="shared" si="13"/>
        <v>2035</v>
      </c>
      <c r="D26" s="87">
        <f t="shared" si="13"/>
        <v>8778.844000000001</v>
      </c>
      <c r="E26" s="151">
        <f t="shared" si="13"/>
        <v>1.2202</v>
      </c>
      <c r="F26" s="75">
        <f t="shared" si="13"/>
        <v>532.9317243</v>
      </c>
      <c r="G26" s="81">
        <f t="shared" si="13"/>
        <v>93.00064036495421</v>
      </c>
      <c r="H26" s="81">
        <f t="shared" si="13"/>
        <v>27.077293536505277</v>
      </c>
      <c r="I26" s="76">
        <f t="shared" si="13"/>
        <v>653.0096582014596</v>
      </c>
      <c r="J26" s="62">
        <v>1050.67</v>
      </c>
      <c r="K26" s="73">
        <f>SUM(K6:K24)</f>
        <v>676149.1139898058</v>
      </c>
      <c r="L26" s="152">
        <f>SUM(L6:L25)</f>
        <v>8778.844000000001</v>
      </c>
      <c r="M26" s="152">
        <f>SUM(M6:M25)</f>
        <v>1605.92885813402</v>
      </c>
      <c r="N26" s="141">
        <f>SUM(N6:N25)</f>
        <v>2972.5519999999997</v>
      </c>
      <c r="O26" s="100">
        <f>SUM(SUM(O6:O25))</f>
        <v>3092.6299339014595</v>
      </c>
      <c r="P26" s="101">
        <f>SUM(P6:P25)</f>
        <v>2439.6202757</v>
      </c>
      <c r="Q26" s="83">
        <f>Q6+Q7+Q8+Q9+Q10+Q11+Q12+Q13+Q14+Q15+Q16+Q17+Q18+Q19+Q20+Q21+Q22+Q23</f>
        <v>105007.7</v>
      </c>
      <c r="R26" s="78">
        <f t="shared" si="10"/>
        <v>2563235.8350697192</v>
      </c>
      <c r="S26" s="79">
        <f t="shared" si="11"/>
        <v>24.409979792622057</v>
      </c>
    </row>
    <row r="27" spans="1:19" s="42" customFormat="1" ht="11.25">
      <c r="A27" s="138"/>
      <c r="B27" s="158">
        <f>SUM(B6:B25)</f>
        <v>6743.844</v>
      </c>
      <c r="C27" s="315">
        <f>SUM(C6:C25)</f>
        <v>2035</v>
      </c>
      <c r="D27" s="315"/>
      <c r="E27" s="159"/>
      <c r="F27" s="160"/>
      <c r="G27" s="160"/>
      <c r="H27" s="160"/>
      <c r="I27" s="161"/>
      <c r="J27" s="162"/>
      <c r="K27" s="138"/>
      <c r="L27" s="163"/>
      <c r="M27" s="164"/>
      <c r="N27" s="50">
        <f>SUM(N6:N25)</f>
        <v>2972.5519999999997</v>
      </c>
      <c r="O27" s="50"/>
      <c r="Q27" s="165"/>
      <c r="R27" s="138"/>
      <c r="S27" s="160"/>
    </row>
    <row r="28" spans="1:19" s="42" customFormat="1" ht="11.25">
      <c r="A28" s="138"/>
      <c r="B28" s="42">
        <f>B27*14.49</f>
        <v>97718.29956</v>
      </c>
      <c r="C28" s="316">
        <f>C27*13.89</f>
        <v>28266.15</v>
      </c>
      <c r="D28" s="316"/>
      <c r="E28" s="159"/>
      <c r="F28" s="160"/>
      <c r="G28" s="160"/>
      <c r="H28" s="160"/>
      <c r="I28" s="161"/>
      <c r="J28" s="162"/>
      <c r="K28" s="138"/>
      <c r="L28" s="163"/>
      <c r="M28" s="164"/>
      <c r="N28" s="48">
        <f>N27*1050.67</f>
        <v>3123171.2098399997</v>
      </c>
      <c r="O28" s="316">
        <f>O26*1050.67</f>
        <v>3249333.4926522467</v>
      </c>
      <c r="P28" s="316"/>
      <c r="Q28" s="165"/>
      <c r="R28" s="138"/>
      <c r="S28" s="160"/>
    </row>
    <row r="29" spans="1:19" s="42" customFormat="1" ht="11.25">
      <c r="A29" s="138"/>
      <c r="C29" s="48"/>
      <c r="D29" s="48"/>
      <c r="E29" s="159"/>
      <c r="F29" s="160"/>
      <c r="G29" s="160"/>
      <c r="H29" s="160"/>
      <c r="I29" s="161"/>
      <c r="J29" s="162"/>
      <c r="K29" s="138"/>
      <c r="L29" s="163"/>
      <c r="M29" s="164"/>
      <c r="N29" s="48"/>
      <c r="O29" s="316">
        <f>B28+C28+N28</f>
        <v>3249155.6594</v>
      </c>
      <c r="P29" s="316"/>
      <c r="Q29" s="165"/>
      <c r="R29" s="138"/>
      <c r="S29" s="160"/>
    </row>
    <row r="30" spans="1:19" s="42" customFormat="1" ht="11.25">
      <c r="A30" s="138"/>
      <c r="C30" s="48"/>
      <c r="D30" s="48"/>
      <c r="E30" s="159"/>
      <c r="F30" s="160"/>
      <c r="G30" s="160"/>
      <c r="H30" s="160"/>
      <c r="I30" s="161"/>
      <c r="J30" s="162"/>
      <c r="K30" s="138"/>
      <c r="L30" s="163"/>
      <c r="M30" s="164"/>
      <c r="N30" s="48"/>
      <c r="O30" s="48"/>
      <c r="P30" s="48"/>
      <c r="Q30" s="165"/>
      <c r="R30" s="138"/>
      <c r="S30" s="160"/>
    </row>
    <row r="31" spans="1:19" s="42" customFormat="1" ht="11.25">
      <c r="A31" s="138"/>
      <c r="C31" s="48"/>
      <c r="D31" s="48"/>
      <c r="E31" s="159"/>
      <c r="F31" s="160"/>
      <c r="G31" s="160"/>
      <c r="H31" s="160"/>
      <c r="I31" s="161"/>
      <c r="J31" s="162"/>
      <c r="K31" s="138"/>
      <c r="L31" s="163"/>
      <c r="M31" s="164"/>
      <c r="N31" s="48"/>
      <c r="O31" s="48"/>
      <c r="P31" s="48"/>
      <c r="Q31" s="165"/>
      <c r="R31" s="138"/>
      <c r="S31" s="160"/>
    </row>
    <row r="32" spans="1:19" s="42" customFormat="1" ht="11.25">
      <c r="A32" s="138"/>
      <c r="C32" s="48"/>
      <c r="D32" s="48"/>
      <c r="E32" s="159"/>
      <c r="F32" s="160"/>
      <c r="G32" s="160"/>
      <c r="H32" s="160"/>
      <c r="I32" s="161"/>
      <c r="J32" s="162"/>
      <c r="K32" s="138"/>
      <c r="L32" s="163"/>
      <c r="M32" s="164"/>
      <c r="N32" s="48"/>
      <c r="O32" s="48"/>
      <c r="P32" s="48"/>
      <c r="Q32" s="165"/>
      <c r="R32" s="138"/>
      <c r="S32" s="160"/>
    </row>
    <row r="33" spans="1:19" s="42" customFormat="1" ht="11.25">
      <c r="A33" s="138"/>
      <c r="C33" s="48"/>
      <c r="D33" s="48"/>
      <c r="E33" s="159"/>
      <c r="F33" s="160"/>
      <c r="G33" s="160"/>
      <c r="H33" s="160"/>
      <c r="I33" s="161"/>
      <c r="J33" s="162"/>
      <c r="K33" s="138"/>
      <c r="L33" s="163"/>
      <c r="M33" s="164"/>
      <c r="N33" s="48"/>
      <c r="O33" s="48"/>
      <c r="P33" s="48"/>
      <c r="Q33" s="165"/>
      <c r="R33" s="138"/>
      <c r="S33" s="160"/>
    </row>
    <row r="34" spans="1:19" s="42" customFormat="1" ht="11.25">
      <c r="A34" s="138"/>
      <c r="C34" s="48"/>
      <c r="D34" s="48"/>
      <c r="E34" s="159"/>
      <c r="F34" s="160"/>
      <c r="G34" s="160"/>
      <c r="H34" s="160"/>
      <c r="I34" s="161"/>
      <c r="J34" s="162"/>
      <c r="K34" s="138"/>
      <c r="L34" s="163"/>
      <c r="M34" s="164"/>
      <c r="N34" s="48"/>
      <c r="O34" s="48"/>
      <c r="P34" s="48"/>
      <c r="Q34" s="165"/>
      <c r="R34" s="138"/>
      <c r="S34" s="160"/>
    </row>
    <row r="35" spans="1:19" s="42" customFormat="1" ht="11.25">
      <c r="A35" s="138"/>
      <c r="C35" s="48"/>
      <c r="D35" s="48"/>
      <c r="E35" s="159"/>
      <c r="F35" s="160"/>
      <c r="G35" s="160"/>
      <c r="H35" s="160"/>
      <c r="I35" s="161"/>
      <c r="J35" s="162"/>
      <c r="K35" s="138"/>
      <c r="L35" s="163"/>
      <c r="M35" s="164"/>
      <c r="N35" s="48"/>
      <c r="O35" s="48"/>
      <c r="P35" s="48"/>
      <c r="Q35" s="165"/>
      <c r="R35" s="138"/>
      <c r="S35" s="160"/>
    </row>
    <row r="36" spans="1:5" ht="12.75">
      <c r="A36" s="5" t="s">
        <v>137</v>
      </c>
      <c r="B36" s="9"/>
      <c r="C36" s="9"/>
      <c r="D36" s="5" t="s">
        <v>138</v>
      </c>
      <c r="E36" s="9"/>
    </row>
    <row r="37" ht="14.25" customHeight="1"/>
    <row r="38" ht="12.75">
      <c r="A38" t="s">
        <v>39</v>
      </c>
    </row>
    <row r="39" spans="1:19" s="42" customFormat="1" ht="11.25">
      <c r="A39" s="138"/>
      <c r="C39" s="48"/>
      <c r="D39" s="48"/>
      <c r="E39" s="159"/>
      <c r="F39" s="160"/>
      <c r="G39" s="160"/>
      <c r="H39" s="160"/>
      <c r="I39" s="161"/>
      <c r="J39" s="162"/>
      <c r="K39" s="138"/>
      <c r="L39" s="163"/>
      <c r="M39" s="164"/>
      <c r="N39" s="48"/>
      <c r="O39" s="48"/>
      <c r="P39" s="48"/>
      <c r="Q39" s="165"/>
      <c r="R39" s="138"/>
      <c r="S39" s="160"/>
    </row>
    <row r="40" spans="1:19" s="42" customFormat="1" ht="11.25">
      <c r="A40" s="138"/>
      <c r="C40" s="48"/>
      <c r="D40" s="48"/>
      <c r="E40" s="159"/>
      <c r="F40" s="160"/>
      <c r="G40" s="160"/>
      <c r="H40" s="160"/>
      <c r="I40" s="161"/>
      <c r="J40" s="162"/>
      <c r="K40" s="138"/>
      <c r="L40" s="163"/>
      <c r="M40" s="164"/>
      <c r="N40" s="48"/>
      <c r="O40" s="48"/>
      <c r="P40" s="48"/>
      <c r="Q40" s="165"/>
      <c r="R40" s="138"/>
      <c r="S40" s="160"/>
    </row>
    <row r="41" spans="1:19" s="42" customFormat="1" ht="11.25">
      <c r="A41" s="138"/>
      <c r="C41" s="48"/>
      <c r="D41" s="48"/>
      <c r="E41" s="159"/>
      <c r="F41" s="160"/>
      <c r="G41" s="160"/>
      <c r="H41" s="160"/>
      <c r="I41" s="161"/>
      <c r="J41" s="162"/>
      <c r="K41" s="138"/>
      <c r="L41" s="163"/>
      <c r="M41" s="164"/>
      <c r="N41" s="48"/>
      <c r="O41" s="48"/>
      <c r="P41" s="48"/>
      <c r="Q41" s="165"/>
      <c r="R41" s="138"/>
      <c r="S41" s="160"/>
    </row>
    <row r="42" spans="1:19" s="42" customFormat="1" ht="11.25">
      <c r="A42" s="138"/>
      <c r="C42" s="48"/>
      <c r="D42" s="48"/>
      <c r="E42" s="159"/>
      <c r="F42" s="160"/>
      <c r="G42" s="160"/>
      <c r="H42" s="160"/>
      <c r="I42" s="161"/>
      <c r="J42" s="162"/>
      <c r="K42" s="138"/>
      <c r="L42" s="163"/>
      <c r="M42" s="164"/>
      <c r="N42" s="48"/>
      <c r="O42" s="48"/>
      <c r="P42" s="48"/>
      <c r="Q42" s="165"/>
      <c r="R42" s="138"/>
      <c r="S42" s="160"/>
    </row>
    <row r="43" spans="1:19" s="42" customFormat="1" ht="11.25">
      <c r="A43" s="138"/>
      <c r="C43" s="48"/>
      <c r="D43" s="48"/>
      <c r="E43" s="159"/>
      <c r="F43" s="160"/>
      <c r="G43" s="160"/>
      <c r="H43" s="160"/>
      <c r="I43" s="161"/>
      <c r="J43" s="162"/>
      <c r="K43" s="138"/>
      <c r="L43" s="163"/>
      <c r="M43" s="164"/>
      <c r="N43" s="48"/>
      <c r="O43" s="48"/>
      <c r="P43" s="48"/>
      <c r="Q43" s="165"/>
      <c r="R43" s="138"/>
      <c r="S43" s="160"/>
    </row>
    <row r="44" spans="1:19" s="42" customFormat="1" ht="11.25">
      <c r="A44" s="138"/>
      <c r="C44" s="48"/>
      <c r="D44" s="48"/>
      <c r="E44" s="159"/>
      <c r="F44" s="160"/>
      <c r="G44" s="160"/>
      <c r="H44" s="160"/>
      <c r="I44" s="161"/>
      <c r="J44" s="162"/>
      <c r="K44" s="138"/>
      <c r="L44" s="163"/>
      <c r="M44" s="164"/>
      <c r="N44" s="48"/>
      <c r="O44" s="48"/>
      <c r="P44" s="48"/>
      <c r="Q44" s="165"/>
      <c r="R44" s="138"/>
      <c r="S44" s="160"/>
    </row>
    <row r="45" spans="1:19" s="42" customFormat="1" ht="11.25">
      <c r="A45" s="138"/>
      <c r="C45" s="48"/>
      <c r="D45" s="48"/>
      <c r="E45" s="159"/>
      <c r="F45" s="160"/>
      <c r="G45" s="160"/>
      <c r="H45" s="160"/>
      <c r="I45" s="161"/>
      <c r="J45" s="162"/>
      <c r="K45" s="138"/>
      <c r="L45" s="163"/>
      <c r="M45" s="164"/>
      <c r="N45" s="48"/>
      <c r="O45" s="48"/>
      <c r="P45" s="48"/>
      <c r="Q45" s="165"/>
      <c r="R45" s="138"/>
      <c r="S45" s="160"/>
    </row>
    <row r="46" spans="1:19" ht="37.5" customHeight="1" hidden="1">
      <c r="A46" s="63" t="s">
        <v>136</v>
      </c>
      <c r="B46" s="63"/>
      <c r="C46" s="63"/>
      <c r="D46" s="63"/>
      <c r="E46" s="63"/>
      <c r="F46" s="64"/>
      <c r="G46" s="16"/>
      <c r="H46" s="279" t="s">
        <v>158</v>
      </c>
      <c r="I46" s="279"/>
      <c r="J46" s="15">
        <v>2014</v>
      </c>
      <c r="K46" s="16"/>
      <c r="L46" s="16" t="s">
        <v>120</v>
      </c>
      <c r="M46" s="16"/>
      <c r="N46" s="16"/>
      <c r="O46" s="16"/>
      <c r="P46" s="16"/>
      <c r="Q46" s="16" t="s">
        <v>119</v>
      </c>
      <c r="R46" s="16"/>
      <c r="S46" s="16"/>
    </row>
    <row r="47" spans="1:19" s="42" customFormat="1" ht="32.25" customHeight="1">
      <c r="A47" s="317" t="s">
        <v>162</v>
      </c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</row>
    <row r="48" spans="1:19" ht="10.5" customHeight="1" hidden="1">
      <c r="A48" s="63"/>
      <c r="B48" s="63"/>
      <c r="C48" s="63"/>
      <c r="D48" s="63"/>
      <c r="E48" s="63"/>
      <c r="F48" s="64"/>
      <c r="G48" s="16"/>
      <c r="H48" s="155"/>
      <c r="I48" s="155"/>
      <c r="J48" s="15"/>
      <c r="K48" s="16"/>
      <c r="L48" s="16"/>
      <c r="M48" s="16"/>
      <c r="N48" s="16"/>
      <c r="O48" s="16"/>
      <c r="P48" s="16"/>
      <c r="Q48" s="16"/>
      <c r="R48" s="16"/>
      <c r="S48" s="16"/>
    </row>
    <row r="49" spans="1:16" ht="12.75" customHeight="1" hidden="1">
      <c r="A49" t="s">
        <v>160</v>
      </c>
      <c r="B49" s="10" t="s">
        <v>149</v>
      </c>
      <c r="D49" s="56"/>
      <c r="E49" s="56"/>
      <c r="F49" s="56"/>
      <c r="G49" s="156" t="s">
        <v>150</v>
      </c>
      <c r="H49" s="157"/>
      <c r="I49" s="157"/>
      <c r="J49" s="157"/>
      <c r="K49" s="56"/>
      <c r="L49" s="56"/>
      <c r="M49" s="90"/>
      <c r="N49" s="10"/>
      <c r="O49" s="173"/>
      <c r="P49" s="173"/>
    </row>
    <row r="50" spans="1:19" ht="25.5" customHeight="1" hidden="1">
      <c r="A50" s="252" t="s">
        <v>116</v>
      </c>
      <c r="B50" s="307" t="s">
        <v>171</v>
      </c>
      <c r="C50" s="308"/>
      <c r="D50" s="272" t="s">
        <v>172</v>
      </c>
      <c r="E50" s="270" t="s">
        <v>100</v>
      </c>
      <c r="F50" s="272" t="s">
        <v>173</v>
      </c>
      <c r="G50" s="278" t="s">
        <v>166</v>
      </c>
      <c r="H50" s="278" t="s">
        <v>169</v>
      </c>
      <c r="I50" s="341" t="s">
        <v>140</v>
      </c>
      <c r="J50" s="342"/>
      <c r="K50" s="272" t="s">
        <v>167</v>
      </c>
      <c r="L50" s="241" t="s">
        <v>168</v>
      </c>
      <c r="M50" s="272" t="s">
        <v>124</v>
      </c>
      <c r="N50" s="334" t="s">
        <v>125</v>
      </c>
      <c r="O50" s="189"/>
      <c r="P50" s="335"/>
      <c r="Q50" s="337"/>
      <c r="R50" s="339"/>
      <c r="S50" s="332"/>
    </row>
    <row r="51" spans="1:19" ht="70.5" customHeight="1" hidden="1">
      <c r="A51" s="253"/>
      <c r="B51" s="309"/>
      <c r="C51" s="310"/>
      <c r="D51" s="273"/>
      <c r="E51" s="271"/>
      <c r="F51" s="273"/>
      <c r="G51" s="242"/>
      <c r="H51" s="242"/>
      <c r="I51" s="343"/>
      <c r="J51" s="344"/>
      <c r="K51" s="330"/>
      <c r="L51" s="331"/>
      <c r="M51" s="330"/>
      <c r="N51" s="334"/>
      <c r="O51" s="137"/>
      <c r="P51" s="336"/>
      <c r="Q51" s="338"/>
      <c r="R51" s="340"/>
      <c r="S51" s="333"/>
    </row>
    <row r="52" spans="1:19" s="72" customFormat="1" ht="10.5" customHeight="1" hidden="1">
      <c r="A52" s="68">
        <v>1</v>
      </c>
      <c r="B52" s="311">
        <v>2</v>
      </c>
      <c r="C52" s="312"/>
      <c r="D52" s="69">
        <v>3</v>
      </c>
      <c r="E52" s="69">
        <v>4</v>
      </c>
      <c r="F52" s="69">
        <v>5</v>
      </c>
      <c r="G52" s="69">
        <v>6</v>
      </c>
      <c r="H52" s="69">
        <v>7</v>
      </c>
      <c r="I52" s="311">
        <v>8</v>
      </c>
      <c r="J52" s="312"/>
      <c r="K52" s="69">
        <v>9</v>
      </c>
      <c r="L52" s="69">
        <v>10</v>
      </c>
      <c r="M52" s="69">
        <v>11</v>
      </c>
      <c r="N52" s="69">
        <v>12</v>
      </c>
      <c r="O52" s="171"/>
      <c r="P52" s="171"/>
      <c r="Q52" s="171"/>
      <c r="R52" s="171"/>
      <c r="S52" s="171"/>
    </row>
    <row r="53" spans="1:19" ht="12.75" hidden="1">
      <c r="A53" s="61" t="s">
        <v>147</v>
      </c>
      <c r="B53" s="304">
        <v>327.69</v>
      </c>
      <c r="C53" s="305"/>
      <c r="D53" s="2">
        <f>B53+C53</f>
        <v>327.69</v>
      </c>
      <c r="E53" s="67">
        <v>0.0546</v>
      </c>
      <c r="F53" s="20">
        <f>D53*E53</f>
        <v>17.891874</v>
      </c>
      <c r="G53" s="80">
        <v>1199.03</v>
      </c>
      <c r="H53" s="80">
        <v>12.89</v>
      </c>
      <c r="I53" s="313">
        <f>B53*12.89/1199.03</f>
        <v>3.5227843340033194</v>
      </c>
      <c r="J53" s="314"/>
      <c r="K53" s="54">
        <v>34.823</v>
      </c>
      <c r="L53" s="185">
        <f>K53+I53</f>
        <v>38.34578433400332</v>
      </c>
      <c r="M53" s="2">
        <f>L53*G53</f>
        <v>45977.74579</v>
      </c>
      <c r="N53" s="21">
        <f>M53/D53</f>
        <v>140.3086630351857</v>
      </c>
      <c r="O53" s="6"/>
      <c r="P53" s="174"/>
      <c r="Q53" s="137"/>
      <c r="R53" s="137"/>
      <c r="S53" s="175"/>
    </row>
    <row r="54" spans="1:19" ht="12.75" hidden="1">
      <c r="A54" s="61" t="s">
        <v>148</v>
      </c>
      <c r="B54" s="304">
        <v>286.322</v>
      </c>
      <c r="C54" s="305"/>
      <c r="D54" s="2">
        <f>B54+C54</f>
        <v>286.322</v>
      </c>
      <c r="E54" s="67">
        <v>0.052</v>
      </c>
      <c r="F54" s="20">
        <f>D54*E54</f>
        <v>14.888743999999999</v>
      </c>
      <c r="G54" s="80">
        <v>1199.03</v>
      </c>
      <c r="H54" s="80">
        <v>12.89</v>
      </c>
      <c r="I54" s="313">
        <f>B54*12.89/1199.03</f>
        <v>3.0780635847309914</v>
      </c>
      <c r="J54" s="314"/>
      <c r="K54" s="54">
        <v>29.292</v>
      </c>
      <c r="L54" s="185">
        <f>K54+I54</f>
        <v>32.37006358473099</v>
      </c>
      <c r="M54" s="2">
        <f>L54*G54</f>
        <v>38812.67734</v>
      </c>
      <c r="N54" s="21">
        <f>M54/D54</f>
        <v>135.55604298656758</v>
      </c>
      <c r="O54" s="6"/>
      <c r="P54" s="174"/>
      <c r="Q54" s="137"/>
      <c r="R54" s="137"/>
      <c r="S54" s="175"/>
    </row>
    <row r="55" spans="1:19" ht="12.75" hidden="1">
      <c r="A55" s="61" t="s">
        <v>184</v>
      </c>
      <c r="B55" s="304">
        <v>77</v>
      </c>
      <c r="C55" s="305"/>
      <c r="D55" s="2">
        <f>B55+C55</f>
        <v>77</v>
      </c>
      <c r="E55" s="67">
        <v>0.052</v>
      </c>
      <c r="F55" s="20">
        <f>D55*E55</f>
        <v>4.004</v>
      </c>
      <c r="G55" s="80">
        <v>1199.03</v>
      </c>
      <c r="H55" s="80">
        <v>12.89</v>
      </c>
      <c r="I55" s="313">
        <f>B55*12.89/1199.03</f>
        <v>0.827777453441532</v>
      </c>
      <c r="J55" s="314"/>
      <c r="K55" s="54">
        <v>10.375</v>
      </c>
      <c r="L55" s="185">
        <f>K55+I55</f>
        <v>11.202777453441533</v>
      </c>
      <c r="M55" s="2">
        <f>L55*G55</f>
        <v>13432.466250000001</v>
      </c>
      <c r="N55" s="21">
        <f>M55/D55</f>
        <v>174.44761363636366</v>
      </c>
      <c r="O55" s="6"/>
      <c r="P55" s="174"/>
      <c r="Q55" s="137"/>
      <c r="R55" s="137"/>
      <c r="S55" s="175"/>
    </row>
    <row r="56" spans="1:19" ht="12.75" hidden="1">
      <c r="A56" s="41" t="s">
        <v>89</v>
      </c>
      <c r="B56" s="292">
        <f>SUM(B53:C55)</f>
        <v>691.012</v>
      </c>
      <c r="C56" s="293"/>
      <c r="D56" s="179">
        <f>SUM(D53:D55)</f>
        <v>691.012</v>
      </c>
      <c r="E56" s="179"/>
      <c r="F56" s="179"/>
      <c r="G56" s="179"/>
      <c r="H56" s="179"/>
      <c r="I56" s="300">
        <f>SUM(I53:I55)</f>
        <v>7.428625372175842</v>
      </c>
      <c r="J56" s="301"/>
      <c r="K56" s="179">
        <f>SUM(K53:K55)</f>
        <v>74.49000000000001</v>
      </c>
      <c r="L56" s="179">
        <f>SUM(L53:L55)</f>
        <v>81.91862537217584</v>
      </c>
      <c r="M56" s="179">
        <f>SUM(M53:M55)</f>
        <v>98222.88938000001</v>
      </c>
      <c r="N56" s="182"/>
      <c r="O56" s="187"/>
      <c r="S56" s="177"/>
    </row>
    <row r="57" spans="1:19" s="42" customFormat="1" ht="11.25" hidden="1">
      <c r="A57" s="166"/>
      <c r="B57" s="158">
        <f>SUM(B53:B55)</f>
        <v>691.012</v>
      </c>
      <c r="C57" s="167"/>
      <c r="D57" s="166"/>
      <c r="E57" s="167"/>
      <c r="F57" s="167"/>
      <c r="I57" s="167"/>
      <c r="J57" s="168"/>
      <c r="K57" s="50">
        <f>SUM(K53:K55)</f>
        <v>74.49000000000001</v>
      </c>
      <c r="L57" s="50">
        <f>SUM(L53:L55)</f>
        <v>81.91862537217584</v>
      </c>
      <c r="N57" s="167"/>
      <c r="O57" s="188"/>
      <c r="S57" s="50"/>
    </row>
    <row r="58" spans="2:19" s="42" customFormat="1" ht="11.25" hidden="1">
      <c r="B58" s="42">
        <f>B57*12.89</f>
        <v>8907.14468</v>
      </c>
      <c r="I58" s="166"/>
      <c r="K58" s="48">
        <f>K57*1199.03</f>
        <v>89315.74470000001</v>
      </c>
      <c r="L58" s="48">
        <f>L57*1199.03</f>
        <v>98222.88938</v>
      </c>
      <c r="M58" s="48"/>
      <c r="O58" s="188"/>
      <c r="S58" s="50"/>
    </row>
    <row r="59" spans="11:19" s="42" customFormat="1" ht="11.25" hidden="1">
      <c r="K59" s="48"/>
      <c r="L59" s="48">
        <f>B58+K58</f>
        <v>98222.88938000001</v>
      </c>
      <c r="M59" s="48"/>
      <c r="O59" s="166"/>
      <c r="S59" s="50"/>
    </row>
    <row r="60" spans="11:19" s="42" customFormat="1" ht="12">
      <c r="K60" s="48"/>
      <c r="L60" s="16" t="s">
        <v>120</v>
      </c>
      <c r="M60" s="16"/>
      <c r="N60" s="16"/>
      <c r="O60" s="16"/>
      <c r="P60" s="16"/>
      <c r="Q60" s="16" t="s">
        <v>119</v>
      </c>
      <c r="R60" s="16"/>
      <c r="S60" s="50"/>
    </row>
    <row r="61" spans="1:19" ht="39.75" customHeight="1">
      <c r="A61" s="63" t="s">
        <v>163</v>
      </c>
      <c r="B61" s="63"/>
      <c r="C61" s="63"/>
      <c r="D61" s="63"/>
      <c r="E61" s="63"/>
      <c r="F61" s="64"/>
      <c r="G61" s="16"/>
      <c r="H61" s="279" t="s">
        <v>183</v>
      </c>
      <c r="I61" s="279"/>
      <c r="J61" s="15">
        <v>2014</v>
      </c>
      <c r="K61" s="16"/>
      <c r="L61" s="16"/>
      <c r="M61" s="16"/>
      <c r="N61" s="16"/>
      <c r="O61" s="16"/>
      <c r="P61" s="16"/>
      <c r="Q61" s="16"/>
      <c r="R61" s="16"/>
      <c r="S61" s="16"/>
    </row>
    <row r="62" spans="1:20" ht="12.75">
      <c r="A62" t="s">
        <v>161</v>
      </c>
      <c r="M62" s="319" t="s">
        <v>190</v>
      </c>
      <c r="N62" s="319"/>
      <c r="P62" s="318" t="s">
        <v>189</v>
      </c>
      <c r="Q62" s="318"/>
      <c r="R62" s="318"/>
      <c r="S62" s="318"/>
      <c r="T62" s="318"/>
    </row>
    <row r="63" spans="1:22" ht="25.5" customHeight="1">
      <c r="A63" s="252" t="s">
        <v>116</v>
      </c>
      <c r="B63" s="307" t="s">
        <v>174</v>
      </c>
      <c r="C63" s="308"/>
      <c r="D63" s="272" t="s">
        <v>172</v>
      </c>
      <c r="E63" s="278" t="s">
        <v>166</v>
      </c>
      <c r="F63" s="278" t="s">
        <v>169</v>
      </c>
      <c r="G63" s="284" t="s">
        <v>175</v>
      </c>
      <c r="H63" s="241" t="s">
        <v>185</v>
      </c>
      <c r="I63" s="270" t="s">
        <v>133</v>
      </c>
      <c r="J63" s="346" t="s">
        <v>187</v>
      </c>
      <c r="K63" s="294" t="s">
        <v>164</v>
      </c>
      <c r="L63" s="295"/>
      <c r="M63" s="266" t="s">
        <v>115</v>
      </c>
      <c r="N63" s="243" t="s">
        <v>117</v>
      </c>
      <c r="P63" s="274" t="s">
        <v>188</v>
      </c>
      <c r="Q63" s="326" t="s">
        <v>186</v>
      </c>
      <c r="R63" s="278" t="s">
        <v>164</v>
      </c>
      <c r="S63" s="266" t="s">
        <v>115</v>
      </c>
      <c r="T63" s="324" t="s">
        <v>117</v>
      </c>
      <c r="U63" s="321"/>
      <c r="V63" s="6"/>
    </row>
    <row r="64" spans="1:22" ht="70.5" customHeight="1">
      <c r="A64" s="253"/>
      <c r="B64" s="309"/>
      <c r="C64" s="310"/>
      <c r="D64" s="273"/>
      <c r="E64" s="242"/>
      <c r="F64" s="242"/>
      <c r="G64" s="283"/>
      <c r="H64" s="269"/>
      <c r="I64" s="345"/>
      <c r="J64" s="347"/>
      <c r="K64" s="296"/>
      <c r="L64" s="297"/>
      <c r="M64" s="267"/>
      <c r="N64" s="240"/>
      <c r="P64" s="275"/>
      <c r="Q64" s="327"/>
      <c r="R64" s="323"/>
      <c r="S64" s="267"/>
      <c r="T64" s="325"/>
      <c r="U64" s="322"/>
      <c r="V64" s="6"/>
    </row>
    <row r="65" spans="1:22" s="72" customFormat="1" ht="10.5" customHeight="1">
      <c r="A65" s="68"/>
      <c r="B65" s="311">
        <v>1</v>
      </c>
      <c r="C65" s="312"/>
      <c r="D65" s="69">
        <v>2</v>
      </c>
      <c r="E65" s="70">
        <v>3</v>
      </c>
      <c r="F65" s="70">
        <v>4</v>
      </c>
      <c r="G65" s="69">
        <v>5</v>
      </c>
      <c r="H65" s="69">
        <v>6</v>
      </c>
      <c r="I65" s="69">
        <v>7</v>
      </c>
      <c r="J65" s="232">
        <v>8</v>
      </c>
      <c r="K65" s="69"/>
      <c r="L65" s="69">
        <v>10</v>
      </c>
      <c r="M65" s="69">
        <v>11</v>
      </c>
      <c r="N65" s="69">
        <v>12</v>
      </c>
      <c r="P65" s="69">
        <v>15</v>
      </c>
      <c r="Q65" s="87"/>
      <c r="R65" s="235"/>
      <c r="S65" s="234">
        <v>10</v>
      </c>
      <c r="T65" s="235">
        <v>11</v>
      </c>
      <c r="U65" s="171"/>
      <c r="V65" s="178"/>
    </row>
    <row r="66" spans="1:22" ht="12.75">
      <c r="A66" s="61" t="s">
        <v>147</v>
      </c>
      <c r="B66" s="304">
        <v>21.083</v>
      </c>
      <c r="C66" s="305"/>
      <c r="D66" s="2">
        <f>B66+C66</f>
        <v>21.083</v>
      </c>
      <c r="E66" s="80">
        <v>1199.03</v>
      </c>
      <c r="F66" s="80">
        <v>12.89</v>
      </c>
      <c r="G66" s="117">
        <f>B66*F66/E66</f>
        <v>0.2266497668949067</v>
      </c>
      <c r="H66" s="20">
        <f>G66</f>
        <v>0.2266497668949067</v>
      </c>
      <c r="I66" s="85">
        <v>73.067</v>
      </c>
      <c r="J66" s="190">
        <f>I66+H66</f>
        <v>73.2936497668949</v>
      </c>
      <c r="K66" s="298">
        <v>3500.4</v>
      </c>
      <c r="L66" s="299"/>
      <c r="M66" s="1">
        <f>J66*E66</f>
        <v>87881.28487999999</v>
      </c>
      <c r="N66" s="4">
        <f>M66/K66</f>
        <v>25.106069272083186</v>
      </c>
      <c r="P66" s="65">
        <v>17.37</v>
      </c>
      <c r="Q66" s="4">
        <f>J66+P66</f>
        <v>90.6636497668949</v>
      </c>
      <c r="R66" s="236">
        <v>3500.4</v>
      </c>
      <c r="S66" s="233">
        <f>Q66*E66</f>
        <v>108708.43598</v>
      </c>
      <c r="T66" s="1">
        <f>S66/R66</f>
        <v>31.05600387955662</v>
      </c>
      <c r="U66" s="177"/>
      <c r="V66" s="6"/>
    </row>
    <row r="67" spans="1:22" ht="12.75">
      <c r="A67" s="61" t="s">
        <v>148</v>
      </c>
      <c r="B67" s="304">
        <v>14.476</v>
      </c>
      <c r="C67" s="305"/>
      <c r="D67" s="2">
        <f>B67+C67</f>
        <v>14.476</v>
      </c>
      <c r="E67" s="80">
        <v>1199.03</v>
      </c>
      <c r="F67" s="80">
        <v>12.89</v>
      </c>
      <c r="G67" s="117">
        <f>B67*F67/E67</f>
        <v>0.15562216124700803</v>
      </c>
      <c r="H67" s="20">
        <f>G67</f>
        <v>0.15562216124700803</v>
      </c>
      <c r="I67" s="85">
        <v>65.384</v>
      </c>
      <c r="J67" s="190">
        <f>I67+H67</f>
        <v>65.53962216124701</v>
      </c>
      <c r="K67" s="298">
        <v>3447.5</v>
      </c>
      <c r="L67" s="299"/>
      <c r="M67" s="1">
        <f>J67*E67</f>
        <v>78583.97316</v>
      </c>
      <c r="N67" s="4">
        <f>M67/K67</f>
        <v>22.794480974619287</v>
      </c>
      <c r="P67" s="65">
        <v>16.94</v>
      </c>
      <c r="Q67" s="4">
        <f>J67+P67</f>
        <v>82.47962216124701</v>
      </c>
      <c r="R67" s="236">
        <v>3447.5</v>
      </c>
      <c r="S67" s="233">
        <f>Q67*E67</f>
        <v>98895.54136</v>
      </c>
      <c r="T67" s="1">
        <f>S67/R67</f>
        <v>28.68616138071066</v>
      </c>
      <c r="U67" s="177"/>
      <c r="V67" s="6"/>
    </row>
    <row r="68" spans="1:22" ht="12.75">
      <c r="A68" s="61" t="s">
        <v>192</v>
      </c>
      <c r="B68" s="304">
        <v>17.884</v>
      </c>
      <c r="C68" s="305"/>
      <c r="D68" s="2">
        <f>B68+C68</f>
        <v>17.884</v>
      </c>
      <c r="E68" s="80">
        <v>1199.03</v>
      </c>
      <c r="F68" s="80">
        <v>12.89</v>
      </c>
      <c r="G68" s="117">
        <f>B68*F68/E68</f>
        <v>0.19225937632919946</v>
      </c>
      <c r="H68" s="20">
        <f>G68</f>
        <v>0.19225937632919946</v>
      </c>
      <c r="I68" s="85">
        <v>41.375</v>
      </c>
      <c r="J68" s="190">
        <f>I68+H68</f>
        <v>41.5672593763292</v>
      </c>
      <c r="K68" s="298">
        <v>1478.3</v>
      </c>
      <c r="L68" s="299"/>
      <c r="M68" s="1">
        <f>J68*E68</f>
        <v>49840.39101</v>
      </c>
      <c r="N68" s="4">
        <f>M68/K68</f>
        <v>33.71466617736589</v>
      </c>
      <c r="P68" s="65">
        <v>8.11</v>
      </c>
      <c r="Q68" s="4">
        <f>J68+P68</f>
        <v>49.6772593763292</v>
      </c>
      <c r="R68" s="236">
        <v>1478.3</v>
      </c>
      <c r="S68" s="233">
        <f>Q68*E68</f>
        <v>59564.52430999999</v>
      </c>
      <c r="T68" s="1">
        <f>S68/R68</f>
        <v>40.292582229588035</v>
      </c>
      <c r="U68" s="177"/>
      <c r="V68" s="6"/>
    </row>
    <row r="69" spans="1:22" ht="12.75">
      <c r="A69" s="41" t="s">
        <v>89</v>
      </c>
      <c r="B69" s="292">
        <f>SUM(B66:C68)</f>
        <v>53.443</v>
      </c>
      <c r="C69" s="293"/>
      <c r="D69" s="179">
        <f>SUM(D66:D68)</f>
        <v>53.443</v>
      </c>
      <c r="E69" s="179"/>
      <c r="F69" s="179"/>
      <c r="G69" s="179">
        <f>SUM(G66:G68)</f>
        <v>0.5745313044711142</v>
      </c>
      <c r="H69" s="180">
        <f>SUM(H66:H68)</f>
        <v>0.5745313044711142</v>
      </c>
      <c r="I69" s="179">
        <f>SUM(I66:I68)</f>
        <v>179.826</v>
      </c>
      <c r="J69" s="179">
        <f>SUM(J66:J68)</f>
        <v>180.40053130447112</v>
      </c>
      <c r="K69" s="300">
        <f>SUM(K66:L68)</f>
        <v>8426.199999999999</v>
      </c>
      <c r="L69" s="301"/>
      <c r="M69" s="181">
        <f>SUM(M66:M68)</f>
        <v>216305.64904999998</v>
      </c>
      <c r="N69" s="182">
        <f>SUM(N66:N68)</f>
        <v>81.61521642406836</v>
      </c>
      <c r="O69" s="238"/>
      <c r="P69" s="182">
        <f>SUM(P66:P68)</f>
        <v>42.42</v>
      </c>
      <c r="Q69" s="182">
        <f>SUM(Q66:Q68)</f>
        <v>222.82053130447113</v>
      </c>
      <c r="R69" s="182"/>
      <c r="S69" s="182"/>
      <c r="T69" s="182"/>
      <c r="U69" s="6"/>
      <c r="V69" s="6"/>
    </row>
    <row r="70" spans="2:22" s="42" customFormat="1" ht="11.25">
      <c r="B70" s="158">
        <f>SUM(B66:B68)</f>
        <v>53.443</v>
      </c>
      <c r="I70" s="176">
        <f>SUM(I66:I68)</f>
        <v>179.826</v>
      </c>
      <c r="N70" s="50"/>
      <c r="O70" s="50"/>
      <c r="S70" s="50"/>
      <c r="U70" s="237"/>
      <c r="V70" s="237"/>
    </row>
    <row r="71" spans="2:22" s="42" customFormat="1" ht="11.25">
      <c r="B71" s="42">
        <f>B70*12.89</f>
        <v>688.88027</v>
      </c>
      <c r="I71" s="42">
        <f>I70*E66</f>
        <v>215616.76877999998</v>
      </c>
      <c r="J71" s="42">
        <f>J69*E66</f>
        <v>216305.64905</v>
      </c>
      <c r="N71" s="48"/>
      <c r="O71" s="316"/>
      <c r="P71" s="316"/>
      <c r="S71" s="50"/>
      <c r="U71" s="237"/>
      <c r="V71" s="237"/>
    </row>
    <row r="72" spans="10:22" s="42" customFormat="1" ht="11.25">
      <c r="J72" s="42">
        <f>B71+I71</f>
        <v>216305.64904999998</v>
      </c>
      <c r="N72" s="48"/>
      <c r="O72" s="316"/>
      <c r="P72" s="316"/>
      <c r="S72" s="50"/>
      <c r="U72" s="237"/>
      <c r="V72" s="237"/>
    </row>
    <row r="73" ht="28.5" customHeight="1" hidden="1"/>
    <row r="74" spans="1:5" ht="12.75" hidden="1">
      <c r="A74" s="5" t="s">
        <v>137</v>
      </c>
      <c r="B74" s="9"/>
      <c r="C74" s="9"/>
      <c r="D74" s="5" t="s">
        <v>138</v>
      </c>
      <c r="E74" s="9"/>
    </row>
    <row r="75" ht="14.25" customHeight="1" hidden="1"/>
    <row r="76" ht="12.75" hidden="1">
      <c r="A76" t="s">
        <v>39</v>
      </c>
    </row>
    <row r="78" spans="1:19" ht="37.5" customHeight="1">
      <c r="A78" s="63" t="s">
        <v>136</v>
      </c>
      <c r="B78" s="63"/>
      <c r="C78" s="63"/>
      <c r="D78" s="63"/>
      <c r="E78" s="63"/>
      <c r="F78" s="64"/>
      <c r="G78" s="16"/>
      <c r="H78" s="279" t="s">
        <v>183</v>
      </c>
      <c r="I78" s="279"/>
      <c r="J78" s="15">
        <v>2014</v>
      </c>
      <c r="K78" s="16"/>
      <c r="S78" s="16"/>
    </row>
    <row r="79" spans="1:20" ht="18.75" customHeight="1">
      <c r="A79" s="63"/>
      <c r="B79" s="63"/>
      <c r="C79" s="63"/>
      <c r="D79" s="63"/>
      <c r="E79" s="63"/>
      <c r="F79" s="64"/>
      <c r="G79" s="16"/>
      <c r="H79" s="155"/>
      <c r="I79" s="155"/>
      <c r="J79" s="15"/>
      <c r="K79" s="16"/>
      <c r="L79" s="16"/>
      <c r="M79" s="16" t="s">
        <v>160</v>
      </c>
      <c r="N79" s="16"/>
      <c r="O79" s="16"/>
      <c r="P79" s="16"/>
      <c r="Q79" s="16"/>
      <c r="R79" s="320" t="s">
        <v>191</v>
      </c>
      <c r="S79" s="320"/>
      <c r="T79" s="320"/>
    </row>
    <row r="80" spans="1:20" ht="25.5" customHeight="1">
      <c r="A80" s="252" t="s">
        <v>116</v>
      </c>
      <c r="B80" s="270" t="s">
        <v>171</v>
      </c>
      <c r="C80" s="270" t="s">
        <v>178</v>
      </c>
      <c r="D80" s="272" t="s">
        <v>104</v>
      </c>
      <c r="E80" s="270" t="s">
        <v>100</v>
      </c>
      <c r="F80" s="272" t="s">
        <v>173</v>
      </c>
      <c r="G80" s="268" t="s">
        <v>179</v>
      </c>
      <c r="H80" s="268" t="s">
        <v>180</v>
      </c>
      <c r="I80" s="276" t="s">
        <v>132</v>
      </c>
      <c r="J80" s="278" t="s">
        <v>109</v>
      </c>
      <c r="K80" s="272" t="s">
        <v>124</v>
      </c>
      <c r="L80" s="272" t="s">
        <v>181</v>
      </c>
      <c r="M80" s="241" t="s">
        <v>176</v>
      </c>
      <c r="N80" s="270" t="s">
        <v>133</v>
      </c>
      <c r="O80" s="272" t="s">
        <v>142</v>
      </c>
      <c r="P80" s="274" t="s">
        <v>135</v>
      </c>
      <c r="Q80" s="278" t="s">
        <v>123</v>
      </c>
      <c r="R80" s="266" t="s">
        <v>115</v>
      </c>
      <c r="S80" s="243" t="s">
        <v>117</v>
      </c>
      <c r="T80" s="328" t="s">
        <v>157</v>
      </c>
    </row>
    <row r="81" spans="1:20" ht="70.5" customHeight="1">
      <c r="A81" s="253"/>
      <c r="B81" s="271"/>
      <c r="C81" s="271"/>
      <c r="D81" s="273"/>
      <c r="E81" s="271"/>
      <c r="F81" s="273"/>
      <c r="G81" s="242"/>
      <c r="H81" s="242"/>
      <c r="I81" s="277"/>
      <c r="J81" s="242"/>
      <c r="K81" s="273"/>
      <c r="L81" s="273"/>
      <c r="M81" s="269"/>
      <c r="N81" s="271"/>
      <c r="O81" s="273"/>
      <c r="P81" s="275"/>
      <c r="Q81" s="242"/>
      <c r="R81" s="267"/>
      <c r="S81" s="240"/>
      <c r="T81" s="329"/>
    </row>
    <row r="82" spans="1:20" s="72" customFormat="1" ht="10.5" customHeight="1">
      <c r="A82" s="68"/>
      <c r="B82" s="69">
        <v>1</v>
      </c>
      <c r="C82" s="69">
        <v>2</v>
      </c>
      <c r="D82" s="69">
        <v>3</v>
      </c>
      <c r="E82" s="69">
        <v>4</v>
      </c>
      <c r="F82" s="69">
        <v>5</v>
      </c>
      <c r="G82" s="69">
        <v>6</v>
      </c>
      <c r="H82" s="69">
        <v>7</v>
      </c>
      <c r="I82" s="69">
        <v>8</v>
      </c>
      <c r="J82" s="69">
        <v>9</v>
      </c>
      <c r="K82" s="69">
        <v>10</v>
      </c>
      <c r="L82" s="69">
        <v>11</v>
      </c>
      <c r="M82" s="69">
        <v>12</v>
      </c>
      <c r="N82" s="69">
        <v>13</v>
      </c>
      <c r="O82" s="69">
        <v>14</v>
      </c>
      <c r="P82" s="69">
        <v>15</v>
      </c>
      <c r="Q82" s="69">
        <v>16</v>
      </c>
      <c r="R82" s="69">
        <v>17</v>
      </c>
      <c r="S82" s="69">
        <v>18</v>
      </c>
      <c r="T82" s="229">
        <v>19</v>
      </c>
    </row>
    <row r="83" spans="1:20" ht="12.75">
      <c r="A83" s="61" t="s">
        <v>147</v>
      </c>
      <c r="B83" s="85">
        <v>327.69</v>
      </c>
      <c r="C83" s="59">
        <v>0</v>
      </c>
      <c r="D83" s="2">
        <f>B83+C83</f>
        <v>327.69</v>
      </c>
      <c r="E83" s="67">
        <v>0.0602</v>
      </c>
      <c r="F83" s="20">
        <f>D83*E83</f>
        <v>19.726937999999997</v>
      </c>
      <c r="G83" s="80">
        <f>B83*12.89/1199.03</f>
        <v>3.5227843340033194</v>
      </c>
      <c r="H83" s="80"/>
      <c r="I83" s="65">
        <f>F83+G83+H83</f>
        <v>23.249722334003316</v>
      </c>
      <c r="J83" s="62">
        <v>1199.03</v>
      </c>
      <c r="K83" s="2">
        <f>I83*J83</f>
        <v>27877.114570139995</v>
      </c>
      <c r="L83" s="53">
        <f>D83</f>
        <v>327.69</v>
      </c>
      <c r="M83" s="21">
        <f>K83/L83</f>
        <v>85.07160599999999</v>
      </c>
      <c r="N83" s="85">
        <v>37.095</v>
      </c>
      <c r="O83" s="20">
        <f>G83+H83+N83</f>
        <v>40.61778433400332</v>
      </c>
      <c r="P83" s="65">
        <f>O83-I83</f>
        <v>17.368062000000002</v>
      </c>
      <c r="Q83" s="58">
        <v>3500.4</v>
      </c>
      <c r="R83" s="1">
        <f>P83*J83</f>
        <v>20824.827379860002</v>
      </c>
      <c r="S83" s="4">
        <f>R83/Q83</f>
        <v>5.949270763301337</v>
      </c>
      <c r="T83" s="230">
        <f>O83*J83/D83</f>
        <v>148.62199624645245</v>
      </c>
    </row>
    <row r="84" spans="1:20" ht="12.75">
      <c r="A84" s="61" t="s">
        <v>148</v>
      </c>
      <c r="B84" s="85">
        <v>274.654</v>
      </c>
      <c r="C84" s="59">
        <v>0</v>
      </c>
      <c r="D84" s="2">
        <f>B84+C84</f>
        <v>274.654</v>
      </c>
      <c r="E84" s="67">
        <v>0.0523</v>
      </c>
      <c r="F84" s="20">
        <f>D84*E84</f>
        <v>14.3644042</v>
      </c>
      <c r="G84" s="80">
        <f>B84*12.89/1199.03</f>
        <v>2.9526284246432537</v>
      </c>
      <c r="H84" s="80"/>
      <c r="I84" s="65">
        <f>F84+G84+H84</f>
        <v>17.317032624643254</v>
      </c>
      <c r="J84" s="62">
        <v>1199.03</v>
      </c>
      <c r="K84" s="2">
        <f>I84*J84</f>
        <v>20763.641627926</v>
      </c>
      <c r="L84" s="53">
        <f>D84</f>
        <v>274.654</v>
      </c>
      <c r="M84" s="21">
        <f>K84/L84</f>
        <v>75.599269</v>
      </c>
      <c r="N84" s="85">
        <v>31.3</v>
      </c>
      <c r="O84" s="20">
        <f>G84+H84+N84</f>
        <v>34.252628424643255</v>
      </c>
      <c r="P84" s="65">
        <f>O84-I84</f>
        <v>16.9355958</v>
      </c>
      <c r="Q84" s="58">
        <v>3447.5</v>
      </c>
      <c r="R84" s="1">
        <f>P84*J84</f>
        <v>20306.287432074</v>
      </c>
      <c r="S84" s="4">
        <f>R84/Q84</f>
        <v>5.890148638745178</v>
      </c>
      <c r="T84" s="230">
        <f>O84*J84/D84</f>
        <v>149.53333670727534</v>
      </c>
    </row>
    <row r="85" spans="1:20" ht="12.75">
      <c r="A85" s="61" t="s">
        <v>184</v>
      </c>
      <c r="B85" s="85">
        <v>102</v>
      </c>
      <c r="C85" s="59">
        <v>0</v>
      </c>
      <c r="D85" s="2">
        <f>B85+C85</f>
        <v>102</v>
      </c>
      <c r="E85" s="67">
        <v>0.0533</v>
      </c>
      <c r="F85" s="20">
        <f>D85*E85</f>
        <v>5.4366</v>
      </c>
      <c r="G85" s="80">
        <f>B85*12.89/1199.03</f>
        <v>1.0965363668965746</v>
      </c>
      <c r="H85" s="80"/>
      <c r="I85" s="65">
        <f>F85+G85+H85</f>
        <v>6.533136366896575</v>
      </c>
      <c r="J85" s="62">
        <v>1199.03</v>
      </c>
      <c r="K85" s="2">
        <f>I85*J85</f>
        <v>7833.426498000001</v>
      </c>
      <c r="L85" s="53">
        <f>D85</f>
        <v>102</v>
      </c>
      <c r="M85" s="21">
        <f>K85/L85</f>
        <v>76.798299</v>
      </c>
      <c r="N85" s="85">
        <v>13.545</v>
      </c>
      <c r="O85" s="20">
        <f>G85+H85+N85</f>
        <v>14.641536366896574</v>
      </c>
      <c r="P85" s="65">
        <f>O85-I85</f>
        <v>8.1084</v>
      </c>
      <c r="Q85" s="58">
        <v>1478.3</v>
      </c>
      <c r="R85" s="1">
        <f>P85*J85</f>
        <v>9722.214852</v>
      </c>
      <c r="S85" s="4">
        <f>R85/Q85</f>
        <v>6.57661831292701</v>
      </c>
      <c r="T85" s="230">
        <f>O85*J85/D85</f>
        <v>172.11413088235292</v>
      </c>
    </row>
    <row r="86" spans="1:20" ht="12.75">
      <c r="A86" s="61" t="s">
        <v>89</v>
      </c>
      <c r="B86" s="111">
        <f aca="true" t="shared" si="14" ref="B86:S86">SUM(B83:B85)</f>
        <v>704.344</v>
      </c>
      <c r="C86" s="111">
        <f t="shared" si="14"/>
        <v>0</v>
      </c>
      <c r="D86" s="111">
        <f t="shared" si="14"/>
        <v>704.344</v>
      </c>
      <c r="E86" s="111">
        <f t="shared" si="14"/>
        <v>0.1658</v>
      </c>
      <c r="F86" s="111">
        <f t="shared" si="14"/>
        <v>39.5279422</v>
      </c>
      <c r="G86" s="111">
        <f t="shared" si="14"/>
        <v>7.571949125543148</v>
      </c>
      <c r="H86" s="111">
        <f t="shared" si="14"/>
        <v>0</v>
      </c>
      <c r="I86" s="111">
        <f t="shared" si="14"/>
        <v>47.09989132554315</v>
      </c>
      <c r="J86" s="111">
        <f t="shared" si="14"/>
        <v>3597.09</v>
      </c>
      <c r="K86" s="198">
        <f t="shared" si="14"/>
        <v>56474.182696066</v>
      </c>
      <c r="L86" s="111">
        <f t="shared" si="14"/>
        <v>704.344</v>
      </c>
      <c r="M86" s="111">
        <f t="shared" si="14"/>
        <v>237.469174</v>
      </c>
      <c r="N86" s="111">
        <f t="shared" si="14"/>
        <v>81.94</v>
      </c>
      <c r="O86" s="111">
        <f t="shared" si="14"/>
        <v>89.51194912554315</v>
      </c>
      <c r="P86" s="111">
        <f t="shared" si="14"/>
        <v>42.4120578</v>
      </c>
      <c r="Q86" s="111">
        <f t="shared" si="14"/>
        <v>8426.199999999999</v>
      </c>
      <c r="R86" s="111">
        <f t="shared" si="14"/>
        <v>50853.329663934004</v>
      </c>
      <c r="S86" s="111">
        <f t="shared" si="14"/>
        <v>18.416037714973527</v>
      </c>
      <c r="T86" s="231"/>
    </row>
    <row r="88" spans="2:19" s="42" customFormat="1" ht="11.25">
      <c r="B88" s="42">
        <f>B86*12.89</f>
        <v>9078.99416</v>
      </c>
      <c r="N88" s="42">
        <f>N86*1199.03</f>
        <v>98248.51819999999</v>
      </c>
      <c r="S88" s="50"/>
    </row>
    <row r="89" spans="15:19" s="42" customFormat="1" ht="11.25">
      <c r="O89" s="42">
        <f>B88+N88</f>
        <v>107327.51236</v>
      </c>
      <c r="S89" s="50"/>
    </row>
    <row r="90" s="42" customFormat="1" ht="11.25">
      <c r="S90" s="50"/>
    </row>
    <row r="92" ht="21" customHeight="1"/>
    <row r="93" spans="1:5" ht="12.75">
      <c r="A93" s="5" t="s">
        <v>137</v>
      </c>
      <c r="B93" s="9"/>
      <c r="C93" s="9"/>
      <c r="D93" s="5" t="s">
        <v>138</v>
      </c>
      <c r="E93" s="9"/>
    </row>
    <row r="94" ht="25.5" customHeight="1"/>
    <row r="95" ht="12.75">
      <c r="A95" t="s">
        <v>39</v>
      </c>
    </row>
    <row r="111" ht="15.75" customHeight="1"/>
    <row r="112" ht="12.75" hidden="1"/>
    <row r="113" ht="12.75" hidden="1"/>
    <row r="114" ht="12.75" hidden="1"/>
    <row r="115" spans="1:19" ht="37.5" customHeight="1" hidden="1">
      <c r="A115" s="63" t="s">
        <v>136</v>
      </c>
      <c r="B115" s="63"/>
      <c r="C115" s="63"/>
      <c r="D115" s="63"/>
      <c r="E115" s="63"/>
      <c r="F115" s="64"/>
      <c r="G115" s="16"/>
      <c r="H115" s="279" t="s">
        <v>158</v>
      </c>
      <c r="I115" s="279"/>
      <c r="J115" s="15">
        <v>2014</v>
      </c>
      <c r="K115" s="16"/>
      <c r="L115" s="16" t="s">
        <v>120</v>
      </c>
      <c r="M115" s="16"/>
      <c r="N115" s="16"/>
      <c r="O115" s="16"/>
      <c r="P115" s="16"/>
      <c r="Q115" s="16" t="s">
        <v>119</v>
      </c>
      <c r="R115" s="16"/>
      <c r="S115" s="16"/>
    </row>
    <row r="116" ht="12.75" hidden="1"/>
    <row r="117" ht="13.5" customHeight="1" hidden="1"/>
    <row r="118" spans="1:20" ht="25.5" customHeight="1" hidden="1">
      <c r="A118" s="252" t="s">
        <v>116</v>
      </c>
      <c r="B118" s="270" t="s">
        <v>177</v>
      </c>
      <c r="C118" s="270" t="s">
        <v>178</v>
      </c>
      <c r="D118" s="272" t="s">
        <v>172</v>
      </c>
      <c r="E118" s="270" t="s">
        <v>100</v>
      </c>
      <c r="F118" s="272" t="s">
        <v>173</v>
      </c>
      <c r="G118" s="268" t="s">
        <v>179</v>
      </c>
      <c r="H118" s="268" t="s">
        <v>180</v>
      </c>
      <c r="I118" s="276" t="s">
        <v>132</v>
      </c>
      <c r="J118" s="278" t="s">
        <v>109</v>
      </c>
      <c r="K118" s="272" t="s">
        <v>124</v>
      </c>
      <c r="L118" s="272" t="s">
        <v>181</v>
      </c>
      <c r="M118" s="241" t="s">
        <v>176</v>
      </c>
      <c r="N118" s="270" t="s">
        <v>133</v>
      </c>
      <c r="O118" s="272" t="s">
        <v>142</v>
      </c>
      <c r="P118" s="274" t="s">
        <v>135</v>
      </c>
      <c r="Q118" s="278" t="s">
        <v>123</v>
      </c>
      <c r="R118" s="266" t="s">
        <v>115</v>
      </c>
      <c r="S118" s="243" t="s">
        <v>117</v>
      </c>
      <c r="T118" s="290" t="s">
        <v>157</v>
      </c>
    </row>
    <row r="119" spans="1:20" ht="70.5" customHeight="1" hidden="1">
      <c r="A119" s="253"/>
      <c r="B119" s="271"/>
      <c r="C119" s="271"/>
      <c r="D119" s="273"/>
      <c r="E119" s="271"/>
      <c r="F119" s="273"/>
      <c r="G119" s="242"/>
      <c r="H119" s="242"/>
      <c r="I119" s="277"/>
      <c r="J119" s="242"/>
      <c r="K119" s="273"/>
      <c r="L119" s="273"/>
      <c r="M119" s="269"/>
      <c r="N119" s="271"/>
      <c r="O119" s="273"/>
      <c r="P119" s="275"/>
      <c r="Q119" s="242"/>
      <c r="R119" s="267"/>
      <c r="S119" s="240"/>
      <c r="T119" s="291"/>
    </row>
    <row r="120" spans="1:20" s="72" customFormat="1" ht="10.5" customHeight="1" hidden="1">
      <c r="A120" s="68"/>
      <c r="B120" s="69">
        <v>1</v>
      </c>
      <c r="C120" s="69">
        <v>2</v>
      </c>
      <c r="D120" s="69">
        <v>3</v>
      </c>
      <c r="E120" s="69">
        <v>4</v>
      </c>
      <c r="F120" s="69">
        <v>5</v>
      </c>
      <c r="G120" s="69">
        <v>6</v>
      </c>
      <c r="H120" s="69">
        <v>7</v>
      </c>
      <c r="I120" s="69">
        <v>8</v>
      </c>
      <c r="J120" s="69">
        <v>9</v>
      </c>
      <c r="K120" s="69">
        <v>10</v>
      </c>
      <c r="L120" s="69">
        <v>11</v>
      </c>
      <c r="M120" s="69">
        <v>12</v>
      </c>
      <c r="N120" s="69">
        <v>13</v>
      </c>
      <c r="O120" s="69">
        <v>14</v>
      </c>
      <c r="P120" s="69">
        <v>15</v>
      </c>
      <c r="Q120" s="69">
        <v>16</v>
      </c>
      <c r="R120" s="69">
        <v>17</v>
      </c>
      <c r="S120" s="69">
        <v>18</v>
      </c>
      <c r="T120" s="193">
        <v>19</v>
      </c>
    </row>
    <row r="121" spans="1:20" ht="12.75" hidden="1">
      <c r="A121" s="61" t="s">
        <v>147</v>
      </c>
      <c r="B121" s="85">
        <f>329.405+11.226</f>
        <v>340.631</v>
      </c>
      <c r="C121" s="59">
        <v>0</v>
      </c>
      <c r="D121" s="2">
        <f>B121+C121</f>
        <v>340.631</v>
      </c>
      <c r="E121" s="67">
        <v>0.0546</v>
      </c>
      <c r="F121" s="20">
        <f>D121*E121</f>
        <v>18.598452599999998</v>
      </c>
      <c r="G121" s="80">
        <f>B121*12.89/1199.03</f>
        <v>3.6619046979641876</v>
      </c>
      <c r="H121" s="80"/>
      <c r="I121" s="65">
        <f>K121/J121</f>
        <v>24.099253338114977</v>
      </c>
      <c r="J121" s="62">
        <v>1199.03</v>
      </c>
      <c r="K121" s="2">
        <f>L121*M121</f>
        <v>28895.72773</v>
      </c>
      <c r="L121" s="53">
        <f>D121</f>
        <v>340.631</v>
      </c>
      <c r="M121" s="21">
        <v>84.83</v>
      </c>
      <c r="N121" s="85">
        <f>34.823+40.556</f>
        <v>75.37899999999999</v>
      </c>
      <c r="O121" s="20">
        <f>G121+H121+N121</f>
        <v>79.04090469796418</v>
      </c>
      <c r="P121" s="65">
        <f>O121-I121</f>
        <v>54.9416513598492</v>
      </c>
      <c r="Q121" s="58">
        <v>3500.4</v>
      </c>
      <c r="R121" s="1">
        <f>P121*J121</f>
        <v>65876.68822999999</v>
      </c>
      <c r="S121" s="4">
        <f>R121/Q121</f>
        <v>18.81976009313221</v>
      </c>
      <c r="T121" s="194">
        <f>O121*J121/D121</f>
        <v>278.2260450751693</v>
      </c>
    </row>
    <row r="122" spans="1:20" ht="12.75" hidden="1">
      <c r="A122" s="61" t="s">
        <v>148</v>
      </c>
      <c r="B122" s="85">
        <f>286.322+92.231</f>
        <v>378.553</v>
      </c>
      <c r="C122" s="59">
        <v>0</v>
      </c>
      <c r="D122" s="2">
        <f>B122+C122</f>
        <v>378.553</v>
      </c>
      <c r="E122" s="67">
        <v>0.052</v>
      </c>
      <c r="F122" s="20">
        <f>D122*E122</f>
        <v>19.684756</v>
      </c>
      <c r="G122" s="80">
        <f>B122*12.89/1199.03</f>
        <v>4.0695797186058735</v>
      </c>
      <c r="H122" s="80"/>
      <c r="I122" s="65">
        <f>K122/J122</f>
        <v>26.78219142973904</v>
      </c>
      <c r="J122" s="62">
        <v>1199.03</v>
      </c>
      <c r="K122" s="2">
        <f>L122*M122</f>
        <v>32112.65099</v>
      </c>
      <c r="L122" s="53">
        <f>D122</f>
        <v>378.553</v>
      </c>
      <c r="M122" s="21">
        <v>84.83</v>
      </c>
      <c r="N122" s="85">
        <f>29.292+39.25</f>
        <v>68.542</v>
      </c>
      <c r="O122" s="20">
        <f>G122+H122+N122</f>
        <v>72.61157971860588</v>
      </c>
      <c r="P122" s="65">
        <f>O122-I122</f>
        <v>45.82938828886684</v>
      </c>
      <c r="Q122" s="58">
        <v>3447.5</v>
      </c>
      <c r="R122" s="1">
        <f>P122*J122</f>
        <v>54950.811440000005</v>
      </c>
      <c r="S122" s="4">
        <f>R122/Q122</f>
        <v>15.93932166497462</v>
      </c>
      <c r="T122" s="194">
        <f>O122*J122/D122</f>
        <v>229.99015310934007</v>
      </c>
    </row>
    <row r="123" spans="1:20" ht="12.75" hidden="1">
      <c r="A123" s="61" t="s">
        <v>159</v>
      </c>
      <c r="B123" s="85">
        <f>77+11.228</f>
        <v>88.228</v>
      </c>
      <c r="C123" s="59">
        <v>0</v>
      </c>
      <c r="D123" s="2">
        <f>B123+C123</f>
        <v>88.228</v>
      </c>
      <c r="E123" s="67">
        <v>0.055</v>
      </c>
      <c r="F123" s="20">
        <f>D123*E123</f>
        <v>4.852539999999999</v>
      </c>
      <c r="G123" s="80">
        <f>B123*12.89/1199.03</f>
        <v>0.9484824566524608</v>
      </c>
      <c r="H123" s="80"/>
      <c r="I123" s="65">
        <f>K123/J123</f>
        <v>6.242030007589468</v>
      </c>
      <c r="J123" s="62">
        <v>1199.03</v>
      </c>
      <c r="K123" s="2">
        <f>L123*M123</f>
        <v>7484.38124</v>
      </c>
      <c r="L123" s="53">
        <f>D123</f>
        <v>88.228</v>
      </c>
      <c r="M123" s="21">
        <v>84.83</v>
      </c>
      <c r="N123" s="85">
        <f>24.556+10.375</f>
        <v>34.931</v>
      </c>
      <c r="O123" s="20">
        <f>G123+H123+N123</f>
        <v>35.87948245665246</v>
      </c>
      <c r="P123" s="65">
        <f>O123-I123</f>
        <v>29.63745244906299</v>
      </c>
      <c r="Q123" s="58">
        <v>1478.3</v>
      </c>
      <c r="R123" s="1">
        <f>P123*J123</f>
        <v>35536.19461</v>
      </c>
      <c r="S123" s="4">
        <f>R123/Q123</f>
        <v>24.03855415680173</v>
      </c>
      <c r="T123" s="194">
        <f>O123*J123/D123</f>
        <v>487.60683513170426</v>
      </c>
    </row>
    <row r="124" spans="1:20" ht="12.75" hidden="1">
      <c r="A124" s="61" t="s">
        <v>89</v>
      </c>
      <c r="B124" s="111">
        <f aca="true" t="shared" si="15" ref="B124:T124">SUM(B121:B123)</f>
        <v>807.4119999999999</v>
      </c>
      <c r="C124" s="111">
        <f t="shared" si="15"/>
        <v>0</v>
      </c>
      <c r="D124" s="111">
        <f t="shared" si="15"/>
        <v>807.4119999999999</v>
      </c>
      <c r="E124" s="111">
        <f t="shared" si="15"/>
        <v>0.1616</v>
      </c>
      <c r="F124" s="111">
        <f t="shared" si="15"/>
        <v>43.13574859999999</v>
      </c>
      <c r="G124" s="111">
        <f t="shared" si="15"/>
        <v>8.679966873222522</v>
      </c>
      <c r="H124" s="111">
        <f t="shared" si="15"/>
        <v>0</v>
      </c>
      <c r="I124" s="111">
        <f t="shared" si="15"/>
        <v>57.12347477544349</v>
      </c>
      <c r="J124" s="111">
        <f t="shared" si="15"/>
        <v>3597.09</v>
      </c>
      <c r="K124" s="198">
        <f t="shared" si="15"/>
        <v>68492.75996</v>
      </c>
      <c r="L124" s="111">
        <f t="shared" si="15"/>
        <v>807.4119999999999</v>
      </c>
      <c r="M124" s="111">
        <f t="shared" si="15"/>
        <v>254.49</v>
      </c>
      <c r="N124" s="111">
        <f t="shared" si="15"/>
        <v>178.85199999999998</v>
      </c>
      <c r="O124" s="111">
        <f t="shared" si="15"/>
        <v>187.53196687322253</v>
      </c>
      <c r="P124" s="111">
        <f t="shared" si="15"/>
        <v>130.40849209777903</v>
      </c>
      <c r="Q124" s="111">
        <f t="shared" si="15"/>
        <v>8426.199999999999</v>
      </c>
      <c r="R124" s="111">
        <f t="shared" si="15"/>
        <v>156363.69428</v>
      </c>
      <c r="S124" s="111">
        <f t="shared" si="15"/>
        <v>58.79763591490856</v>
      </c>
      <c r="T124" s="199">
        <f t="shared" si="15"/>
        <v>995.8230333162137</v>
      </c>
    </row>
    <row r="125" ht="5.25" customHeight="1" hidden="1"/>
    <row r="126" spans="2:19" s="200" customFormat="1" ht="8.25" customHeight="1" hidden="1">
      <c r="B126" s="200">
        <f>B124*12.89</f>
        <v>10407.54068</v>
      </c>
      <c r="N126" s="200">
        <f>N124*1199.03</f>
        <v>214448.91355999996</v>
      </c>
      <c r="S126" s="201"/>
    </row>
    <row r="127" spans="15:19" s="200" customFormat="1" ht="8.25" customHeight="1" hidden="1">
      <c r="O127" s="200">
        <f>B126+N126</f>
        <v>224856.45423999996</v>
      </c>
      <c r="S127" s="201"/>
    </row>
    <row r="128" ht="27.75" customHeight="1" hidden="1"/>
    <row r="129" spans="1:20" ht="25.5" customHeight="1" hidden="1">
      <c r="A129" s="252" t="s">
        <v>116</v>
      </c>
      <c r="B129" s="270" t="s">
        <v>126</v>
      </c>
      <c r="C129" s="270" t="s">
        <v>127</v>
      </c>
      <c r="D129" s="272" t="s">
        <v>104</v>
      </c>
      <c r="E129" s="270" t="s">
        <v>100</v>
      </c>
      <c r="F129" s="272" t="s">
        <v>128</v>
      </c>
      <c r="G129" s="268" t="s">
        <v>179</v>
      </c>
      <c r="H129" s="268" t="s">
        <v>180</v>
      </c>
      <c r="I129" s="276" t="s">
        <v>132</v>
      </c>
      <c r="J129" s="278" t="s">
        <v>109</v>
      </c>
      <c r="K129" s="272" t="s">
        <v>124</v>
      </c>
      <c r="L129" s="272" t="s">
        <v>181</v>
      </c>
      <c r="M129" s="241" t="s">
        <v>157</v>
      </c>
      <c r="N129" s="270" t="s">
        <v>133</v>
      </c>
      <c r="O129" s="272" t="s">
        <v>142</v>
      </c>
      <c r="P129" s="274" t="s">
        <v>135</v>
      </c>
      <c r="Q129" s="278" t="s">
        <v>123</v>
      </c>
      <c r="R129" s="266" t="s">
        <v>115</v>
      </c>
      <c r="S129" s="243" t="s">
        <v>117</v>
      </c>
      <c r="T129" s="290" t="s">
        <v>157</v>
      </c>
    </row>
    <row r="130" spans="1:20" ht="70.5" customHeight="1" hidden="1">
      <c r="A130" s="253"/>
      <c r="B130" s="271"/>
      <c r="C130" s="271"/>
      <c r="D130" s="273"/>
      <c r="E130" s="271"/>
      <c r="F130" s="273"/>
      <c r="G130" s="242"/>
      <c r="H130" s="242"/>
      <c r="I130" s="277"/>
      <c r="J130" s="242"/>
      <c r="K130" s="273"/>
      <c r="L130" s="273"/>
      <c r="M130" s="269"/>
      <c r="N130" s="271"/>
      <c r="O130" s="273"/>
      <c r="P130" s="275"/>
      <c r="Q130" s="242"/>
      <c r="R130" s="267"/>
      <c r="S130" s="240"/>
      <c r="T130" s="291"/>
    </row>
    <row r="131" spans="1:20" s="72" customFormat="1" ht="10.5" customHeight="1" hidden="1">
      <c r="A131" s="68"/>
      <c r="B131" s="69">
        <v>1</v>
      </c>
      <c r="C131" s="69">
        <v>2</v>
      </c>
      <c r="D131" s="69">
        <v>3</v>
      </c>
      <c r="E131" s="69">
        <v>4</v>
      </c>
      <c r="F131" s="69">
        <v>5</v>
      </c>
      <c r="G131" s="69">
        <v>6</v>
      </c>
      <c r="H131" s="69">
        <v>7</v>
      </c>
      <c r="I131" s="69">
        <v>8</v>
      </c>
      <c r="J131" s="69">
        <v>9</v>
      </c>
      <c r="K131" s="69">
        <v>10</v>
      </c>
      <c r="L131" s="69">
        <v>11</v>
      </c>
      <c r="M131" s="69">
        <v>12</v>
      </c>
      <c r="N131" s="69">
        <v>13</v>
      </c>
      <c r="O131" s="69">
        <v>14</v>
      </c>
      <c r="P131" s="69">
        <v>15</v>
      </c>
      <c r="Q131" s="69">
        <v>16</v>
      </c>
      <c r="R131" s="69">
        <v>17</v>
      </c>
      <c r="S131" s="69">
        <v>18</v>
      </c>
      <c r="T131" s="193">
        <v>19</v>
      </c>
    </row>
    <row r="132" spans="1:20" ht="12.75" hidden="1">
      <c r="A132" s="61" t="s">
        <v>147</v>
      </c>
      <c r="B132" s="85">
        <f>329.405+11.226</f>
        <v>340.631</v>
      </c>
      <c r="C132" s="59">
        <v>0</v>
      </c>
      <c r="D132" s="2">
        <f>B132+C132</f>
        <v>340.631</v>
      </c>
      <c r="E132" s="67">
        <v>0.0546</v>
      </c>
      <c r="F132" s="20">
        <f>D132*E132</f>
        <v>18.598452599999998</v>
      </c>
      <c r="G132" s="80">
        <f>B132*12.89/1199.03</f>
        <v>3.6619046979641876</v>
      </c>
      <c r="H132" s="80"/>
      <c r="I132" s="65">
        <f>K132/J132</f>
        <v>26.77536988232154</v>
      </c>
      <c r="J132" s="62">
        <v>1199.03</v>
      </c>
      <c r="K132" s="2">
        <f>L132*M132</f>
        <v>32104.471749999997</v>
      </c>
      <c r="L132" s="53">
        <f>D132</f>
        <v>340.631</v>
      </c>
      <c r="M132" s="21">
        <v>94.25</v>
      </c>
      <c r="N132" s="85">
        <f>34.823+40.556</f>
        <v>75.37899999999999</v>
      </c>
      <c r="O132" s="20">
        <f>G132+H132+N132</f>
        <v>79.04090469796418</v>
      </c>
      <c r="P132" s="65">
        <f>O132-I132</f>
        <v>52.26553481564264</v>
      </c>
      <c r="Q132" s="58">
        <v>3500.4</v>
      </c>
      <c r="R132" s="1">
        <f>P132*J132</f>
        <v>62667.944209999994</v>
      </c>
      <c r="S132" s="4">
        <f>R132/Q132</f>
        <v>17.90308085075991</v>
      </c>
      <c r="T132" s="194">
        <f>O132*J132/D132</f>
        <v>278.2260450751693</v>
      </c>
    </row>
    <row r="133" spans="1:20" ht="12.75" hidden="1">
      <c r="A133" s="61" t="s">
        <v>148</v>
      </c>
      <c r="B133" s="85">
        <f>286.322+92.231</f>
        <v>378.553</v>
      </c>
      <c r="C133" s="59">
        <v>0</v>
      </c>
      <c r="D133" s="2">
        <f>B133+C133</f>
        <v>378.553</v>
      </c>
      <c r="E133" s="67">
        <v>0.052</v>
      </c>
      <c r="F133" s="20">
        <f>D133*E133</f>
        <v>19.684756</v>
      </c>
      <c r="G133" s="80">
        <f>B133*12.89/1199.03</f>
        <v>4.0695797186058735</v>
      </c>
      <c r="H133" s="80"/>
      <c r="I133" s="65">
        <f>K133/J133</f>
        <v>29.756236499503768</v>
      </c>
      <c r="J133" s="62">
        <v>1199.03</v>
      </c>
      <c r="K133" s="2">
        <f>L133*M133</f>
        <v>35678.62025</v>
      </c>
      <c r="L133" s="53">
        <f>D133</f>
        <v>378.553</v>
      </c>
      <c r="M133" s="21">
        <v>94.25</v>
      </c>
      <c r="N133" s="85">
        <f>29.292+39.25</f>
        <v>68.542</v>
      </c>
      <c r="O133" s="20">
        <f>G133+H133+N133</f>
        <v>72.61157971860588</v>
      </c>
      <c r="P133" s="65">
        <f>O133-I133</f>
        <v>42.85534321910211</v>
      </c>
      <c r="Q133" s="58">
        <v>3447.5</v>
      </c>
      <c r="R133" s="1">
        <f>P133*J133</f>
        <v>51384.84218</v>
      </c>
      <c r="S133" s="4">
        <f>R133/Q133</f>
        <v>14.904957847715735</v>
      </c>
      <c r="T133" s="194">
        <f>O133*J133/D133</f>
        <v>229.99015310934007</v>
      </c>
    </row>
    <row r="134" spans="1:20" ht="12.75" hidden="1">
      <c r="A134" s="61" t="s">
        <v>159</v>
      </c>
      <c r="B134" s="85">
        <f>77+11.228</f>
        <v>88.228</v>
      </c>
      <c r="C134" s="59">
        <v>0</v>
      </c>
      <c r="D134" s="2">
        <f>B134+C134</f>
        <v>88.228</v>
      </c>
      <c r="E134" s="67">
        <v>0.055</v>
      </c>
      <c r="F134" s="20">
        <f>D134*E134</f>
        <v>4.852539999999999</v>
      </c>
      <c r="G134" s="80">
        <f>B134*12.89/1199.03</f>
        <v>0.9484824566524608</v>
      </c>
      <c r="H134" s="80"/>
      <c r="I134" s="65">
        <f>K134/J134</f>
        <v>6.935180103917333</v>
      </c>
      <c r="J134" s="62">
        <v>1199.03</v>
      </c>
      <c r="K134" s="2">
        <f>L134*M134</f>
        <v>8315.489</v>
      </c>
      <c r="L134" s="53">
        <f>D134</f>
        <v>88.228</v>
      </c>
      <c r="M134" s="21">
        <v>94.25</v>
      </c>
      <c r="N134" s="85">
        <f>24.556+10.375</f>
        <v>34.931</v>
      </c>
      <c r="O134" s="20">
        <f>G134+H134+N134</f>
        <v>35.87948245665246</v>
      </c>
      <c r="P134" s="65">
        <f>O134-I134</f>
        <v>28.94430235273513</v>
      </c>
      <c r="Q134" s="58">
        <v>1478.3</v>
      </c>
      <c r="R134" s="1">
        <f>P134*J134</f>
        <v>34705.08685</v>
      </c>
      <c r="S134" s="4">
        <f>R134/Q134</f>
        <v>23.476349083406618</v>
      </c>
      <c r="T134" s="194">
        <f>O134*J134/D134</f>
        <v>487.60683513170426</v>
      </c>
    </row>
    <row r="135" spans="1:20" ht="12.75" hidden="1">
      <c r="A135" s="61" t="s">
        <v>89</v>
      </c>
      <c r="B135" s="111">
        <f aca="true" t="shared" si="16" ref="B135:T135">SUM(B132:B134)</f>
        <v>807.4119999999999</v>
      </c>
      <c r="C135" s="111">
        <f t="shared" si="16"/>
        <v>0</v>
      </c>
      <c r="D135" s="111">
        <f t="shared" si="16"/>
        <v>807.4119999999999</v>
      </c>
      <c r="E135" s="111">
        <f t="shared" si="16"/>
        <v>0.1616</v>
      </c>
      <c r="F135" s="111">
        <f t="shared" si="16"/>
        <v>43.13574859999999</v>
      </c>
      <c r="G135" s="111">
        <f t="shared" si="16"/>
        <v>8.679966873222522</v>
      </c>
      <c r="H135" s="111">
        <f t="shared" si="16"/>
        <v>0</v>
      </c>
      <c r="I135" s="111">
        <f t="shared" si="16"/>
        <v>63.466786485742645</v>
      </c>
      <c r="J135" s="111">
        <f t="shared" si="16"/>
        <v>3597.09</v>
      </c>
      <c r="K135" s="198">
        <f t="shared" si="16"/>
        <v>76098.581</v>
      </c>
      <c r="L135" s="111">
        <f t="shared" si="16"/>
        <v>807.4119999999999</v>
      </c>
      <c r="M135" s="111">
        <f t="shared" si="16"/>
        <v>282.75</v>
      </c>
      <c r="N135" s="111">
        <f t="shared" si="16"/>
        <v>178.85199999999998</v>
      </c>
      <c r="O135" s="111">
        <f t="shared" si="16"/>
        <v>187.53196687322253</v>
      </c>
      <c r="P135" s="111">
        <f t="shared" si="16"/>
        <v>124.06518038747987</v>
      </c>
      <c r="Q135" s="111">
        <f t="shared" si="16"/>
        <v>8426.199999999999</v>
      </c>
      <c r="R135" s="111">
        <f t="shared" si="16"/>
        <v>148757.87324</v>
      </c>
      <c r="S135" s="111">
        <f t="shared" si="16"/>
        <v>56.28438778188226</v>
      </c>
      <c r="T135" s="199">
        <f t="shared" si="16"/>
        <v>995.8230333162137</v>
      </c>
    </row>
    <row r="136" ht="12.75" hidden="1"/>
    <row r="137" spans="2:14" ht="12.75" hidden="1">
      <c r="B137">
        <f>B135*12.89</f>
        <v>10407.54068</v>
      </c>
      <c r="N137">
        <f>N135*1199.03</f>
        <v>214448.91355999996</v>
      </c>
    </row>
    <row r="138" ht="12.75" hidden="1">
      <c r="O138">
        <f>B137+N137</f>
        <v>224856.45423999996</v>
      </c>
    </row>
    <row r="139" ht="12.75" hidden="1"/>
    <row r="140" ht="12.75" hidden="1"/>
    <row r="141" ht="12.75" hidden="1"/>
    <row r="142" spans="1:5" ht="12.75" hidden="1">
      <c r="A142" s="5" t="s">
        <v>137</v>
      </c>
      <c r="B142" s="9"/>
      <c r="C142" s="9"/>
      <c r="D142" s="5" t="s">
        <v>138</v>
      </c>
      <c r="E142" s="9"/>
    </row>
    <row r="143" ht="25.5" customHeight="1" hidden="1"/>
    <row r="144" ht="12.75" hidden="1">
      <c r="A144" t="s">
        <v>39</v>
      </c>
    </row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</sheetData>
  <mergeCells count="147">
    <mergeCell ref="Q129:Q130"/>
    <mergeCell ref="R129:R130"/>
    <mergeCell ref="S129:S130"/>
    <mergeCell ref="T129:T130"/>
    <mergeCell ref="M129:M130"/>
    <mergeCell ref="N129:N130"/>
    <mergeCell ref="O129:O130"/>
    <mergeCell ref="P129:P130"/>
    <mergeCell ref="I129:I130"/>
    <mergeCell ref="J129:J130"/>
    <mergeCell ref="K129:K130"/>
    <mergeCell ref="L129:L130"/>
    <mergeCell ref="E129:E130"/>
    <mergeCell ref="F129:F130"/>
    <mergeCell ref="G129:G130"/>
    <mergeCell ref="H129:H130"/>
    <mergeCell ref="A129:A130"/>
    <mergeCell ref="B129:B130"/>
    <mergeCell ref="C129:C130"/>
    <mergeCell ref="D129:D130"/>
    <mergeCell ref="Q118:Q119"/>
    <mergeCell ref="R118:R119"/>
    <mergeCell ref="S118:S119"/>
    <mergeCell ref="T118:T119"/>
    <mergeCell ref="M118:M119"/>
    <mergeCell ref="N118:N119"/>
    <mergeCell ref="O118:O119"/>
    <mergeCell ref="P118:P119"/>
    <mergeCell ref="I118:I119"/>
    <mergeCell ref="J118:J119"/>
    <mergeCell ref="K118:K119"/>
    <mergeCell ref="L118:L119"/>
    <mergeCell ref="E118:E119"/>
    <mergeCell ref="F118:F119"/>
    <mergeCell ref="G118:G119"/>
    <mergeCell ref="H118:H119"/>
    <mergeCell ref="A118:A119"/>
    <mergeCell ref="B118:B119"/>
    <mergeCell ref="C118:C119"/>
    <mergeCell ref="D118:D119"/>
    <mergeCell ref="B56:C56"/>
    <mergeCell ref="K63:L64"/>
    <mergeCell ref="K66:L66"/>
    <mergeCell ref="I56:J56"/>
    <mergeCell ref="J63:J64"/>
    <mergeCell ref="B67:C67"/>
    <mergeCell ref="B68:C68"/>
    <mergeCell ref="I63:I64"/>
    <mergeCell ref="B69:C69"/>
    <mergeCell ref="B63:C64"/>
    <mergeCell ref="B66:C66"/>
    <mergeCell ref="B65:C65"/>
    <mergeCell ref="B52:C52"/>
    <mergeCell ref="M63:M64"/>
    <mergeCell ref="N63:N64"/>
    <mergeCell ref="G50:G51"/>
    <mergeCell ref="H50:H51"/>
    <mergeCell ref="I50:J51"/>
    <mergeCell ref="I53:J53"/>
    <mergeCell ref="I54:J54"/>
    <mergeCell ref="I55:J55"/>
    <mergeCell ref="I52:J52"/>
    <mergeCell ref="K67:L67"/>
    <mergeCell ref="K68:L68"/>
    <mergeCell ref="H63:H64"/>
    <mergeCell ref="E63:E64"/>
    <mergeCell ref="K69:L69"/>
    <mergeCell ref="S50:S51"/>
    <mergeCell ref="A63:A64"/>
    <mergeCell ref="D63:D64"/>
    <mergeCell ref="F63:F64"/>
    <mergeCell ref="G63:G64"/>
    <mergeCell ref="N50:N51"/>
    <mergeCell ref="P50:P51"/>
    <mergeCell ref="Q50:Q51"/>
    <mergeCell ref="R50:R51"/>
    <mergeCell ref="K50:K51"/>
    <mergeCell ref="L50:L51"/>
    <mergeCell ref="M50:M51"/>
    <mergeCell ref="D50:D51"/>
    <mergeCell ref="E50:E51"/>
    <mergeCell ref="E3:E4"/>
    <mergeCell ref="F3:F4"/>
    <mergeCell ref="G3:G4"/>
    <mergeCell ref="C27:D27"/>
    <mergeCell ref="R3:R4"/>
    <mergeCell ref="H3:H4"/>
    <mergeCell ref="S3:S4"/>
    <mergeCell ref="P3:P4"/>
    <mergeCell ref="Q3:Q4"/>
    <mergeCell ref="O3:O4"/>
    <mergeCell ref="M3:M4"/>
    <mergeCell ref="N3:N4"/>
    <mergeCell ref="L3:L4"/>
    <mergeCell ref="H1:I1"/>
    <mergeCell ref="I3:I4"/>
    <mergeCell ref="J3:J4"/>
    <mergeCell ref="K3:K4"/>
    <mergeCell ref="A3:A4"/>
    <mergeCell ref="B3:B4"/>
    <mergeCell ref="C3:C4"/>
    <mergeCell ref="D3:D4"/>
    <mergeCell ref="O72:P72"/>
    <mergeCell ref="O28:P28"/>
    <mergeCell ref="A47:S47"/>
    <mergeCell ref="H61:I61"/>
    <mergeCell ref="B53:C53"/>
    <mergeCell ref="B54:C54"/>
    <mergeCell ref="B55:C55"/>
    <mergeCell ref="A50:A51"/>
    <mergeCell ref="C28:D28"/>
    <mergeCell ref="O29:P29"/>
    <mergeCell ref="H46:I46"/>
    <mergeCell ref="F50:F51"/>
    <mergeCell ref="A80:A81"/>
    <mergeCell ref="B80:B81"/>
    <mergeCell ref="C80:C81"/>
    <mergeCell ref="D80:D81"/>
    <mergeCell ref="E80:E81"/>
    <mergeCell ref="F80:F81"/>
    <mergeCell ref="G80:G81"/>
    <mergeCell ref="B50:C51"/>
    <mergeCell ref="O80:O81"/>
    <mergeCell ref="H80:H81"/>
    <mergeCell ref="I80:I81"/>
    <mergeCell ref="J80:J81"/>
    <mergeCell ref="K80:K81"/>
    <mergeCell ref="H78:I78"/>
    <mergeCell ref="H115:I115"/>
    <mergeCell ref="T80:T81"/>
    <mergeCell ref="P80:P81"/>
    <mergeCell ref="Q80:Q81"/>
    <mergeCell ref="R80:R81"/>
    <mergeCell ref="S80:S81"/>
    <mergeCell ref="L80:L81"/>
    <mergeCell ref="M80:M81"/>
    <mergeCell ref="N80:N81"/>
    <mergeCell ref="P62:T62"/>
    <mergeCell ref="M62:N62"/>
    <mergeCell ref="R79:T79"/>
    <mergeCell ref="U63:U64"/>
    <mergeCell ref="S63:S64"/>
    <mergeCell ref="R63:R64"/>
    <mergeCell ref="P63:P64"/>
    <mergeCell ref="T63:T64"/>
    <mergeCell ref="Q63:Q64"/>
    <mergeCell ref="O71:P71"/>
  </mergeCells>
  <printOptions/>
  <pageMargins left="0.1968503937007874" right="0.1968503937007874" top="0" bottom="0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A1">
      <selection activeCell="K6" sqref="K6"/>
    </sheetView>
  </sheetViews>
  <sheetFormatPr defaultColWidth="9.00390625" defaultRowHeight="12.75"/>
  <cols>
    <col min="1" max="1" width="16.625" style="0" customWidth="1"/>
    <col min="2" max="2" width="9.00390625" style="0" customWidth="1"/>
    <col min="3" max="3" width="7.00390625" style="0" customWidth="1"/>
    <col min="4" max="4" width="8.875" style="0" customWidth="1"/>
    <col min="5" max="5" width="7.625" style="0" customWidth="1"/>
    <col min="6" max="6" width="6.75390625" style="0" customWidth="1"/>
    <col min="7" max="7" width="7.125" style="0" customWidth="1"/>
    <col min="8" max="8" width="7.625" style="0" customWidth="1"/>
    <col min="9" max="9" width="6.875" style="0" customWidth="1"/>
    <col min="10" max="10" width="7.75390625" style="0" customWidth="1"/>
    <col min="11" max="11" width="7.875" style="0" customWidth="1"/>
    <col min="12" max="12" width="8.625" style="0" customWidth="1"/>
    <col min="13" max="13" width="9.25390625" style="0" customWidth="1"/>
    <col min="14" max="14" width="8.625" style="0" customWidth="1"/>
    <col min="15" max="15" width="7.25390625" style="0" customWidth="1"/>
    <col min="16" max="16" width="7.00390625" style="0" customWidth="1"/>
    <col min="17" max="17" width="7.125" style="0" customWidth="1"/>
    <col min="18" max="18" width="9.875" style="0" customWidth="1"/>
    <col min="19" max="19" width="6.875" style="3" customWidth="1"/>
    <col min="20" max="20" width="7.125" style="0" customWidth="1"/>
  </cols>
  <sheetData>
    <row r="1" spans="1:19" ht="37.5" customHeight="1">
      <c r="A1" s="63" t="s">
        <v>136</v>
      </c>
      <c r="B1" s="63"/>
      <c r="C1" s="63"/>
      <c r="D1" s="63"/>
      <c r="E1" s="63"/>
      <c r="F1" s="64"/>
      <c r="G1" s="16"/>
      <c r="H1" s="279" t="s">
        <v>194</v>
      </c>
      <c r="I1" s="279"/>
      <c r="J1" s="15">
        <v>2014</v>
      </c>
      <c r="K1" s="16"/>
      <c r="L1" s="16" t="s">
        <v>120</v>
      </c>
      <c r="M1" s="16"/>
      <c r="N1" s="16"/>
      <c r="O1" s="16"/>
      <c r="P1" s="16"/>
      <c r="Q1" s="16" t="s">
        <v>119</v>
      </c>
      <c r="R1" s="16"/>
      <c r="S1" s="16"/>
    </row>
    <row r="2" spans="1:1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5"/>
      <c r="N2" s="55"/>
      <c r="O2" s="17"/>
    </row>
    <row r="3" spans="1:19" ht="25.5" customHeight="1">
      <c r="A3" s="252" t="s">
        <v>116</v>
      </c>
      <c r="B3" s="270" t="s">
        <v>126</v>
      </c>
      <c r="C3" s="270" t="s">
        <v>127</v>
      </c>
      <c r="D3" s="272" t="s">
        <v>104</v>
      </c>
      <c r="E3" s="270" t="s">
        <v>100</v>
      </c>
      <c r="F3" s="272" t="s">
        <v>128</v>
      </c>
      <c r="G3" s="268" t="s">
        <v>140</v>
      </c>
      <c r="H3" s="268" t="s">
        <v>131</v>
      </c>
      <c r="I3" s="276" t="s">
        <v>132</v>
      </c>
      <c r="J3" s="278" t="s">
        <v>165</v>
      </c>
      <c r="K3" s="272" t="s">
        <v>124</v>
      </c>
      <c r="L3" s="272" t="s">
        <v>129</v>
      </c>
      <c r="M3" s="285" t="s">
        <v>125</v>
      </c>
      <c r="N3" s="270" t="s">
        <v>133</v>
      </c>
      <c r="O3" s="272" t="s">
        <v>142</v>
      </c>
      <c r="P3" s="274" t="s">
        <v>135</v>
      </c>
      <c r="Q3" s="278" t="s">
        <v>123</v>
      </c>
      <c r="R3" s="266" t="s">
        <v>115</v>
      </c>
      <c r="S3" s="243" t="s">
        <v>117</v>
      </c>
    </row>
    <row r="4" spans="1:19" ht="70.5" customHeight="1">
      <c r="A4" s="253"/>
      <c r="B4" s="271"/>
      <c r="C4" s="271"/>
      <c r="D4" s="273"/>
      <c r="E4" s="271"/>
      <c r="F4" s="273"/>
      <c r="G4" s="242"/>
      <c r="H4" s="242"/>
      <c r="I4" s="277"/>
      <c r="J4" s="242"/>
      <c r="K4" s="273"/>
      <c r="L4" s="273"/>
      <c r="M4" s="286"/>
      <c r="N4" s="271"/>
      <c r="O4" s="273"/>
      <c r="P4" s="275"/>
      <c r="Q4" s="242"/>
      <c r="R4" s="267"/>
      <c r="S4" s="240"/>
    </row>
    <row r="5" spans="1:19" s="72" customFormat="1" ht="10.5" customHeight="1">
      <c r="A5" s="68"/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69">
        <v>6</v>
      </c>
      <c r="H5" s="69">
        <v>7</v>
      </c>
      <c r="I5" s="69">
        <v>8</v>
      </c>
      <c r="J5" s="69">
        <v>9</v>
      </c>
      <c r="K5" s="69">
        <v>10</v>
      </c>
      <c r="L5" s="69">
        <v>11</v>
      </c>
      <c r="M5" s="105">
        <v>12</v>
      </c>
      <c r="N5" s="69">
        <v>13</v>
      </c>
      <c r="O5" s="69">
        <v>14</v>
      </c>
      <c r="P5" s="69">
        <v>15</v>
      </c>
      <c r="Q5" s="69">
        <v>16</v>
      </c>
      <c r="R5" s="69">
        <v>17</v>
      </c>
      <c r="S5" s="69">
        <v>18</v>
      </c>
    </row>
    <row r="6" spans="1:21" ht="12.75">
      <c r="A6" s="61" t="s">
        <v>0</v>
      </c>
      <c r="B6" s="85">
        <v>427.926</v>
      </c>
      <c r="C6" s="59">
        <v>0</v>
      </c>
      <c r="D6" s="2">
        <f aca="true" t="shared" si="0" ref="D6:D27">B6+C6</f>
        <v>427.926</v>
      </c>
      <c r="E6" s="67">
        <v>0.06357</v>
      </c>
      <c r="F6" s="20">
        <f aca="true" t="shared" si="1" ref="F6:F27">D6*E6</f>
        <v>27.20325582</v>
      </c>
      <c r="G6" s="80">
        <f aca="true" t="shared" si="2" ref="G6:G12">B6*14.49/1050.67</f>
        <v>5.901613008841977</v>
      </c>
      <c r="H6" s="80">
        <f aca="true" t="shared" si="3" ref="H6:H27">C6*13.98/1050.67</f>
        <v>0</v>
      </c>
      <c r="I6" s="65">
        <f aca="true" t="shared" si="4" ref="I6:I27">F6+G6+H6</f>
        <v>33.10486882884197</v>
      </c>
      <c r="J6" s="62">
        <v>1050.67</v>
      </c>
      <c r="K6" s="2">
        <f aca="true" t="shared" si="5" ref="K6:K27">I6*J6</f>
        <v>34782.2925323994</v>
      </c>
      <c r="L6" s="111">
        <f aca="true" t="shared" si="6" ref="L6:L27">D6</f>
        <v>427.926</v>
      </c>
      <c r="M6" s="186">
        <f>K6/L6</f>
        <v>81.28109189999999</v>
      </c>
      <c r="N6" s="85">
        <v>257.853</v>
      </c>
      <c r="O6" s="20">
        <f aca="true" t="shared" si="7" ref="O6:O27">G6+H6+N6</f>
        <v>263.754613008842</v>
      </c>
      <c r="P6" s="65">
        <f aca="true" t="shared" si="8" ref="P6:P27">O6-I6</f>
        <v>230.64974418000003</v>
      </c>
      <c r="Q6" s="58">
        <v>9290.5</v>
      </c>
      <c r="R6" s="1">
        <f aca="true" t="shared" si="9" ref="R6:R28">P6*J6</f>
        <v>242336.76671760064</v>
      </c>
      <c r="S6" s="4">
        <f aca="true" t="shared" si="10" ref="S6:S28">R6/Q6</f>
        <v>26.084362167547564</v>
      </c>
      <c r="U6" s="3"/>
    </row>
    <row r="7" spans="1:21" ht="12.75">
      <c r="A7" s="61" t="s">
        <v>1</v>
      </c>
      <c r="B7" s="85">
        <v>44</v>
      </c>
      <c r="C7" s="59">
        <v>907</v>
      </c>
      <c r="D7" s="2">
        <f t="shared" si="0"/>
        <v>951</v>
      </c>
      <c r="E7" s="67">
        <v>0.06157</v>
      </c>
      <c r="F7" s="20">
        <f t="shared" si="1"/>
        <v>58.55307</v>
      </c>
      <c r="G7" s="80">
        <f t="shared" si="2"/>
        <v>0.6068127956446839</v>
      </c>
      <c r="H7" s="80">
        <f t="shared" si="3"/>
        <v>12.068356382118077</v>
      </c>
      <c r="I7" s="65">
        <f t="shared" si="4"/>
        <v>71.22823917776276</v>
      </c>
      <c r="J7" s="62">
        <v>1050.67</v>
      </c>
      <c r="K7" s="2">
        <f t="shared" si="5"/>
        <v>74837.37405690001</v>
      </c>
      <c r="L7" s="111">
        <f t="shared" si="6"/>
        <v>951</v>
      </c>
      <c r="M7" s="186">
        <f aca="true" t="shared" si="11" ref="M7:M27">K7/L7</f>
        <v>78.69334811451105</v>
      </c>
      <c r="N7" s="85">
        <v>318.944</v>
      </c>
      <c r="O7" s="20">
        <f t="shared" si="7"/>
        <v>331.6191691777628</v>
      </c>
      <c r="P7" s="65">
        <f t="shared" si="8"/>
        <v>260.39093</v>
      </c>
      <c r="Q7" s="58">
        <v>9725.3</v>
      </c>
      <c r="R7" s="1">
        <f t="shared" si="9"/>
        <v>273584.93842310004</v>
      </c>
      <c r="S7" s="4">
        <f t="shared" si="10"/>
        <v>28.131259541926735</v>
      </c>
      <c r="U7" s="3"/>
    </row>
    <row r="8" spans="1:21" ht="12.75">
      <c r="A8" s="61" t="s">
        <v>2</v>
      </c>
      <c r="B8" s="85">
        <v>31.273</v>
      </c>
      <c r="C8" s="59">
        <v>535</v>
      </c>
      <c r="D8" s="2">
        <f t="shared" si="0"/>
        <v>566.273</v>
      </c>
      <c r="E8" s="67">
        <v>0.06186</v>
      </c>
      <c r="F8" s="20">
        <f t="shared" si="1"/>
        <v>35.02964778</v>
      </c>
      <c r="G8" s="80">
        <f t="shared" si="2"/>
        <v>0.43129219450445905</v>
      </c>
      <c r="H8" s="80">
        <f t="shared" si="3"/>
        <v>7.118600512054213</v>
      </c>
      <c r="I8" s="65">
        <f t="shared" si="4"/>
        <v>42.57954048655867</v>
      </c>
      <c r="J8" s="62">
        <v>1050.67</v>
      </c>
      <c r="K8" s="2">
        <f t="shared" si="5"/>
        <v>44737.0458030126</v>
      </c>
      <c r="L8" s="53">
        <f t="shared" si="6"/>
        <v>566.273</v>
      </c>
      <c r="M8" s="186">
        <f t="shared" si="11"/>
        <v>79.00261146657637</v>
      </c>
      <c r="N8" s="85">
        <v>213.96</v>
      </c>
      <c r="O8" s="20">
        <f t="shared" si="7"/>
        <v>221.50989270655867</v>
      </c>
      <c r="P8" s="65">
        <f t="shared" si="8"/>
        <v>178.93035222</v>
      </c>
      <c r="Q8" s="58">
        <v>6610</v>
      </c>
      <c r="R8" s="1">
        <f t="shared" si="9"/>
        <v>187996.75316698742</v>
      </c>
      <c r="S8" s="4">
        <f t="shared" si="10"/>
        <v>28.441263716639547</v>
      </c>
      <c r="U8" s="3"/>
    </row>
    <row r="9" spans="1:21" ht="12.75">
      <c r="A9" s="61" t="s">
        <v>3</v>
      </c>
      <c r="B9" s="85">
        <v>482.956</v>
      </c>
      <c r="C9" s="59">
        <v>0</v>
      </c>
      <c r="D9" s="2">
        <f t="shared" si="0"/>
        <v>482.956</v>
      </c>
      <c r="E9" s="67">
        <v>0.06399</v>
      </c>
      <c r="F9" s="20">
        <f t="shared" si="1"/>
        <v>30.904354440000002</v>
      </c>
      <c r="G9" s="80">
        <f t="shared" si="2"/>
        <v>6.660542739394862</v>
      </c>
      <c r="H9" s="80">
        <f t="shared" si="3"/>
        <v>0</v>
      </c>
      <c r="I9" s="65">
        <f t="shared" si="4"/>
        <v>37.56489717939486</v>
      </c>
      <c r="J9" s="62">
        <v>1050.67</v>
      </c>
      <c r="K9" s="2">
        <f t="shared" si="5"/>
        <v>39468.3105194748</v>
      </c>
      <c r="L9" s="53">
        <f t="shared" si="6"/>
        <v>482.956</v>
      </c>
      <c r="M9" s="186">
        <f t="shared" si="11"/>
        <v>81.7223733</v>
      </c>
      <c r="N9" s="85">
        <v>218.866</v>
      </c>
      <c r="O9" s="20">
        <f t="shared" si="7"/>
        <v>225.52654273939487</v>
      </c>
      <c r="P9" s="65">
        <f t="shared" si="8"/>
        <v>187.96164556000002</v>
      </c>
      <c r="Q9" s="58">
        <v>6343.9</v>
      </c>
      <c r="R9" s="1">
        <f t="shared" si="9"/>
        <v>197485.66214052524</v>
      </c>
      <c r="S9" s="4">
        <f t="shared" si="10"/>
        <v>31.13000869189698</v>
      </c>
      <c r="U9" s="3"/>
    </row>
    <row r="10" spans="1:21" ht="12.75">
      <c r="A10" s="61" t="s">
        <v>4</v>
      </c>
      <c r="B10" s="85">
        <v>468.94</v>
      </c>
      <c r="C10" s="59">
        <v>0</v>
      </c>
      <c r="D10" s="2">
        <f t="shared" si="0"/>
        <v>468.94</v>
      </c>
      <c r="E10" s="67">
        <v>0.06169</v>
      </c>
      <c r="F10" s="20">
        <f t="shared" si="1"/>
        <v>28.9289086</v>
      </c>
      <c r="G10" s="80">
        <f t="shared" si="2"/>
        <v>6.467245281582228</v>
      </c>
      <c r="H10" s="80">
        <f t="shared" si="3"/>
        <v>0</v>
      </c>
      <c r="I10" s="65">
        <f t="shared" si="4"/>
        <v>35.39615388158223</v>
      </c>
      <c r="J10" s="62">
        <v>1050.67</v>
      </c>
      <c r="K10" s="2">
        <f t="shared" si="5"/>
        <v>37189.67699876201</v>
      </c>
      <c r="L10" s="53">
        <f t="shared" si="6"/>
        <v>468.94</v>
      </c>
      <c r="M10" s="186">
        <f t="shared" si="11"/>
        <v>79.30583230000002</v>
      </c>
      <c r="N10" s="85">
        <v>168.503</v>
      </c>
      <c r="O10" s="20">
        <f t="shared" si="7"/>
        <v>174.9702452815822</v>
      </c>
      <c r="P10" s="65">
        <f t="shared" si="8"/>
        <v>139.5740914</v>
      </c>
      <c r="Q10" s="58">
        <v>5989.7</v>
      </c>
      <c r="R10" s="1">
        <f t="shared" si="9"/>
        <v>146646.310611238</v>
      </c>
      <c r="S10" s="4">
        <f t="shared" si="10"/>
        <v>24.4830810576887</v>
      </c>
      <c r="U10" s="3"/>
    </row>
    <row r="11" spans="1:21" ht="12.75">
      <c r="A11" s="61" t="s">
        <v>5</v>
      </c>
      <c r="B11" s="85">
        <v>465.43</v>
      </c>
      <c r="C11" s="59">
        <v>0</v>
      </c>
      <c r="D11" s="2">
        <f t="shared" si="0"/>
        <v>465.43</v>
      </c>
      <c r="E11" s="67">
        <v>0.0649</v>
      </c>
      <c r="F11" s="20">
        <f t="shared" si="1"/>
        <v>30.206407</v>
      </c>
      <c r="G11" s="80">
        <f t="shared" si="2"/>
        <v>6.418838169929664</v>
      </c>
      <c r="H11" s="80">
        <f t="shared" si="3"/>
        <v>0</v>
      </c>
      <c r="I11" s="65">
        <f t="shared" si="4"/>
        <v>36.62524516992966</v>
      </c>
      <c r="J11" s="62">
        <v>1050.67</v>
      </c>
      <c r="K11" s="2">
        <f t="shared" si="5"/>
        <v>38481.04634269</v>
      </c>
      <c r="L11" s="53">
        <f t="shared" si="6"/>
        <v>465.43</v>
      </c>
      <c r="M11" s="186">
        <f t="shared" si="11"/>
        <v>82.678483</v>
      </c>
      <c r="N11" s="85">
        <v>189.432</v>
      </c>
      <c r="O11" s="20">
        <f t="shared" si="7"/>
        <v>195.85083816992966</v>
      </c>
      <c r="P11" s="65">
        <f t="shared" si="8"/>
        <v>159.225593</v>
      </c>
      <c r="Q11" s="58">
        <v>5514.4</v>
      </c>
      <c r="R11" s="1">
        <f t="shared" si="9"/>
        <v>167293.55379731</v>
      </c>
      <c r="S11" s="4">
        <f t="shared" si="10"/>
        <v>30.33758047970949</v>
      </c>
      <c r="U11" s="3"/>
    </row>
    <row r="12" spans="1:21" ht="12.75">
      <c r="A12" s="61" t="s">
        <v>6</v>
      </c>
      <c r="B12" s="85">
        <v>343.323</v>
      </c>
      <c r="C12" s="59">
        <v>0</v>
      </c>
      <c r="D12" s="2">
        <f t="shared" si="0"/>
        <v>343.323</v>
      </c>
      <c r="E12" s="67">
        <v>0.06409</v>
      </c>
      <c r="F12" s="20">
        <f t="shared" si="1"/>
        <v>22.003571069999996</v>
      </c>
      <c r="G12" s="80">
        <f t="shared" si="2"/>
        <v>4.7348361236163585</v>
      </c>
      <c r="H12" s="80">
        <f t="shared" si="3"/>
        <v>0</v>
      </c>
      <c r="I12" s="65">
        <f t="shared" si="4"/>
        <v>26.738407193616354</v>
      </c>
      <c r="J12" s="62">
        <v>1050.67</v>
      </c>
      <c r="K12" s="2">
        <f t="shared" si="5"/>
        <v>28093.242286116896</v>
      </c>
      <c r="L12" s="53">
        <f t="shared" si="6"/>
        <v>343.323</v>
      </c>
      <c r="M12" s="186">
        <f t="shared" si="11"/>
        <v>81.82744029999999</v>
      </c>
      <c r="N12" s="85">
        <v>217.984</v>
      </c>
      <c r="O12" s="20">
        <f t="shared" si="7"/>
        <v>222.71883612361637</v>
      </c>
      <c r="P12" s="65">
        <f t="shared" si="8"/>
        <v>195.98042893000002</v>
      </c>
      <c r="Q12" s="58">
        <v>7253</v>
      </c>
      <c r="R12" s="1">
        <f t="shared" si="9"/>
        <v>205910.75726388313</v>
      </c>
      <c r="S12" s="4">
        <f t="shared" si="10"/>
        <v>28.389736283452798</v>
      </c>
      <c r="U12" s="3"/>
    </row>
    <row r="13" spans="1:21" ht="12.75">
      <c r="A13" s="61" t="s">
        <v>7</v>
      </c>
      <c r="B13" s="85">
        <v>1.78</v>
      </c>
      <c r="C13" s="59">
        <v>0</v>
      </c>
      <c r="D13" s="2">
        <f t="shared" si="0"/>
        <v>1.78</v>
      </c>
      <c r="E13" s="67">
        <v>0.06385</v>
      </c>
      <c r="F13" s="20">
        <f t="shared" si="1"/>
        <v>0.113653</v>
      </c>
      <c r="G13" s="80">
        <f>B13*14.49/1348.12</f>
        <v>0.01913197638192446</v>
      </c>
      <c r="H13" s="80">
        <f t="shared" si="3"/>
        <v>0</v>
      </c>
      <c r="I13" s="65">
        <f t="shared" si="4"/>
        <v>0.13278497638192446</v>
      </c>
      <c r="J13" s="62">
        <v>1590.78</v>
      </c>
      <c r="K13" s="2">
        <f t="shared" si="5"/>
        <v>211.2316847288378</v>
      </c>
      <c r="L13" s="53">
        <f t="shared" si="6"/>
        <v>1.78</v>
      </c>
      <c r="M13" s="186">
        <f t="shared" si="11"/>
        <v>118.66948580271786</v>
      </c>
      <c r="N13" s="85">
        <v>26.619</v>
      </c>
      <c r="O13" s="20">
        <f t="shared" si="7"/>
        <v>26.638131976381924</v>
      </c>
      <c r="P13" s="65">
        <f t="shared" si="8"/>
        <v>26.505347</v>
      </c>
      <c r="Q13" s="58">
        <v>760.9</v>
      </c>
      <c r="R13" s="1">
        <f t="shared" si="9"/>
        <v>42164.17590066</v>
      </c>
      <c r="S13" s="4">
        <f t="shared" si="10"/>
        <v>55.413557498567485</v>
      </c>
      <c r="U13" s="3"/>
    </row>
    <row r="14" spans="1:21" ht="12.75">
      <c r="A14" s="61" t="s">
        <v>8</v>
      </c>
      <c r="B14" s="85">
        <v>321.01</v>
      </c>
      <c r="C14" s="59">
        <v>0</v>
      </c>
      <c r="D14" s="2">
        <f t="shared" si="0"/>
        <v>321.01</v>
      </c>
      <c r="E14" s="67">
        <v>0.06244</v>
      </c>
      <c r="F14" s="20">
        <f t="shared" si="1"/>
        <v>20.0438644</v>
      </c>
      <c r="G14" s="80">
        <f aca="true" t="shared" si="12" ref="G14:G27">B14*14.49/1050.67</f>
        <v>4.427113080224999</v>
      </c>
      <c r="H14" s="80">
        <f t="shared" si="3"/>
        <v>0</v>
      </c>
      <c r="I14" s="65">
        <f t="shared" si="4"/>
        <v>24.470977480225</v>
      </c>
      <c r="J14" s="62">
        <v>1050.67</v>
      </c>
      <c r="K14" s="2">
        <f t="shared" si="5"/>
        <v>25710.921909148</v>
      </c>
      <c r="L14" s="53">
        <f t="shared" si="6"/>
        <v>321.01</v>
      </c>
      <c r="M14" s="186">
        <f t="shared" si="11"/>
        <v>80.09383480000001</v>
      </c>
      <c r="N14" s="85">
        <v>135.273</v>
      </c>
      <c r="O14" s="20">
        <f t="shared" si="7"/>
        <v>139.700113080225</v>
      </c>
      <c r="P14" s="65">
        <f t="shared" si="8"/>
        <v>115.2291356</v>
      </c>
      <c r="Q14" s="58">
        <v>3718.8</v>
      </c>
      <c r="R14" s="1">
        <f t="shared" si="9"/>
        <v>121067.79590085201</v>
      </c>
      <c r="S14" s="4">
        <f t="shared" si="10"/>
        <v>32.55560823406798</v>
      </c>
      <c r="U14" s="3"/>
    </row>
    <row r="15" spans="1:21" ht="12.75">
      <c r="A15" s="61" t="s">
        <v>9</v>
      </c>
      <c r="B15" s="85">
        <v>443.277</v>
      </c>
      <c r="C15" s="59">
        <v>0</v>
      </c>
      <c r="D15" s="2">
        <f t="shared" si="0"/>
        <v>443.277</v>
      </c>
      <c r="E15" s="67">
        <v>0.06314</v>
      </c>
      <c r="F15" s="20">
        <f t="shared" si="1"/>
        <v>27.98850978</v>
      </c>
      <c r="G15" s="80">
        <f t="shared" si="12"/>
        <v>6.113321718522466</v>
      </c>
      <c r="H15" s="80">
        <f t="shared" si="3"/>
        <v>0</v>
      </c>
      <c r="I15" s="65">
        <f t="shared" si="4"/>
        <v>34.101831498522465</v>
      </c>
      <c r="J15" s="62">
        <v>1050.67</v>
      </c>
      <c r="K15" s="2">
        <f t="shared" si="5"/>
        <v>35829.7713005526</v>
      </c>
      <c r="L15" s="53">
        <f t="shared" si="6"/>
        <v>443.277</v>
      </c>
      <c r="M15" s="186">
        <f t="shared" si="11"/>
        <v>80.8293038</v>
      </c>
      <c r="N15" s="85">
        <v>320.591</v>
      </c>
      <c r="O15" s="20">
        <f t="shared" si="7"/>
        <v>326.70432171852246</v>
      </c>
      <c r="P15" s="65">
        <f t="shared" si="8"/>
        <v>292.60249022</v>
      </c>
      <c r="Q15" s="58">
        <v>9274.6</v>
      </c>
      <c r="R15" s="1">
        <f t="shared" si="9"/>
        <v>307428.6583994474</v>
      </c>
      <c r="S15" s="4">
        <f t="shared" si="10"/>
        <v>33.14737653369929</v>
      </c>
      <c r="U15" s="3"/>
    </row>
    <row r="16" spans="1:21" ht="12.75">
      <c r="A16" s="61" t="s">
        <v>10</v>
      </c>
      <c r="B16" s="85">
        <v>472.61</v>
      </c>
      <c r="C16" s="59">
        <v>0</v>
      </c>
      <c r="D16" s="2">
        <f t="shared" si="0"/>
        <v>472.61</v>
      </c>
      <c r="E16" s="67">
        <v>0.06362</v>
      </c>
      <c r="F16" s="20">
        <f t="shared" si="1"/>
        <v>30.067448199999998</v>
      </c>
      <c r="G16" s="80">
        <f t="shared" si="12"/>
        <v>6.517858985218956</v>
      </c>
      <c r="H16" s="80">
        <f t="shared" si="3"/>
        <v>0</v>
      </c>
      <c r="I16" s="65">
        <f t="shared" si="4"/>
        <v>36.58530718521895</v>
      </c>
      <c r="J16" s="62">
        <v>1050.67</v>
      </c>
      <c r="K16" s="2">
        <f t="shared" si="5"/>
        <v>38439.084700294</v>
      </c>
      <c r="L16" s="53">
        <f t="shared" si="6"/>
        <v>472.61</v>
      </c>
      <c r="M16" s="186">
        <f t="shared" si="11"/>
        <v>81.3336254</v>
      </c>
      <c r="N16" s="85">
        <v>181.011</v>
      </c>
      <c r="O16" s="20">
        <f t="shared" si="7"/>
        <v>187.52885898521896</v>
      </c>
      <c r="P16" s="65">
        <f t="shared" si="8"/>
        <v>150.94355180000002</v>
      </c>
      <c r="Q16" s="58">
        <v>5981.3</v>
      </c>
      <c r="R16" s="1">
        <f t="shared" si="9"/>
        <v>158591.86156970603</v>
      </c>
      <c r="S16" s="4">
        <f t="shared" si="10"/>
        <v>26.514614142361363</v>
      </c>
      <c r="U16" s="3"/>
    </row>
    <row r="17" spans="1:21" ht="12.75">
      <c r="A17" s="61" t="s">
        <v>11</v>
      </c>
      <c r="B17" s="85">
        <v>335.07</v>
      </c>
      <c r="C17" s="59">
        <v>0</v>
      </c>
      <c r="D17" s="2">
        <f t="shared" si="0"/>
        <v>335.07</v>
      </c>
      <c r="E17" s="67">
        <v>0.06381</v>
      </c>
      <c r="F17" s="20">
        <f t="shared" si="1"/>
        <v>21.3808167</v>
      </c>
      <c r="G17" s="80">
        <f t="shared" si="12"/>
        <v>4.621017350833278</v>
      </c>
      <c r="H17" s="80">
        <f t="shared" si="3"/>
        <v>0</v>
      </c>
      <c r="I17" s="65">
        <f t="shared" si="4"/>
        <v>26.001834050833278</v>
      </c>
      <c r="J17" s="62">
        <v>1050.67</v>
      </c>
      <c r="K17" s="2">
        <f t="shared" si="5"/>
        <v>27319.346982189003</v>
      </c>
      <c r="L17" s="53">
        <f t="shared" si="6"/>
        <v>335.07</v>
      </c>
      <c r="M17" s="186">
        <f t="shared" si="11"/>
        <v>81.5332527</v>
      </c>
      <c r="N17" s="85">
        <v>121.106</v>
      </c>
      <c r="O17" s="20">
        <f t="shared" si="7"/>
        <v>125.72701735083328</v>
      </c>
      <c r="P17" s="65">
        <f t="shared" si="8"/>
        <v>99.7251833</v>
      </c>
      <c r="Q17" s="58">
        <v>3323</v>
      </c>
      <c r="R17" s="1">
        <f t="shared" si="9"/>
        <v>104778.258337811</v>
      </c>
      <c r="S17" s="4">
        <f t="shared" si="10"/>
        <v>31.531224296662955</v>
      </c>
      <c r="U17" s="3"/>
    </row>
    <row r="18" spans="1:21" ht="12.75">
      <c r="A18" s="61" t="s">
        <v>12</v>
      </c>
      <c r="B18" s="85">
        <v>664.3</v>
      </c>
      <c r="C18" s="59">
        <v>0</v>
      </c>
      <c r="D18" s="2">
        <f t="shared" si="0"/>
        <v>664.3</v>
      </c>
      <c r="E18" s="67">
        <v>0.06393</v>
      </c>
      <c r="F18" s="20">
        <f t="shared" si="1"/>
        <v>42.468699</v>
      </c>
      <c r="G18" s="80">
        <f t="shared" si="12"/>
        <v>9.161494094244624</v>
      </c>
      <c r="H18" s="80">
        <f t="shared" si="3"/>
        <v>0</v>
      </c>
      <c r="I18" s="65">
        <f t="shared" si="4"/>
        <v>51.630193094244625</v>
      </c>
      <c r="J18" s="62">
        <v>1050.67</v>
      </c>
      <c r="K18" s="2">
        <f t="shared" si="5"/>
        <v>54246.29497833001</v>
      </c>
      <c r="L18" s="53">
        <f t="shared" si="6"/>
        <v>664.3</v>
      </c>
      <c r="M18" s="186">
        <f t="shared" si="11"/>
        <v>81.65933310000001</v>
      </c>
      <c r="N18" s="85">
        <v>244.659</v>
      </c>
      <c r="O18" s="20">
        <f t="shared" si="7"/>
        <v>253.82049409424462</v>
      </c>
      <c r="P18" s="65">
        <f t="shared" si="8"/>
        <v>202.190301</v>
      </c>
      <c r="Q18" s="58">
        <v>6355.1</v>
      </c>
      <c r="R18" s="1">
        <f t="shared" si="9"/>
        <v>212435.28355167003</v>
      </c>
      <c r="S18" s="4">
        <f t="shared" si="10"/>
        <v>33.42752805646961</v>
      </c>
      <c r="U18" s="3"/>
    </row>
    <row r="19" spans="1:21" s="98" customFormat="1" ht="12.75">
      <c r="A19" s="61" t="s">
        <v>13</v>
      </c>
      <c r="B19" s="85">
        <v>735.09</v>
      </c>
      <c r="C19" s="59">
        <v>0</v>
      </c>
      <c r="D19" s="2">
        <f t="shared" si="0"/>
        <v>735.09</v>
      </c>
      <c r="E19" s="67">
        <v>0.06349</v>
      </c>
      <c r="F19" s="20">
        <f t="shared" si="1"/>
        <v>46.6708641</v>
      </c>
      <c r="G19" s="80">
        <f t="shared" si="12"/>
        <v>10.137773135237515</v>
      </c>
      <c r="H19" s="80">
        <f t="shared" si="3"/>
        <v>0</v>
      </c>
      <c r="I19" s="65">
        <f t="shared" si="4"/>
        <v>56.80863723523752</v>
      </c>
      <c r="J19" s="62">
        <v>1050.67</v>
      </c>
      <c r="K19" s="2">
        <f t="shared" si="5"/>
        <v>59687.13088394701</v>
      </c>
      <c r="L19" s="53">
        <f t="shared" si="6"/>
        <v>735.09</v>
      </c>
      <c r="M19" s="186">
        <f t="shared" si="11"/>
        <v>81.1970383</v>
      </c>
      <c r="N19" s="85">
        <v>207.648</v>
      </c>
      <c r="O19" s="20">
        <f t="shared" si="7"/>
        <v>217.78577313523752</v>
      </c>
      <c r="P19" s="65">
        <f t="shared" si="8"/>
        <v>160.9771359</v>
      </c>
      <c r="Q19" s="96">
        <v>4183.8</v>
      </c>
      <c r="R19" s="97">
        <f t="shared" si="9"/>
        <v>169133.84737605302</v>
      </c>
      <c r="S19" s="25">
        <f t="shared" si="10"/>
        <v>40.42589210192959</v>
      </c>
      <c r="T19"/>
      <c r="U19" s="3"/>
    </row>
    <row r="20" spans="1:21" ht="12.75">
      <c r="A20" s="61" t="s">
        <v>14</v>
      </c>
      <c r="B20" s="85">
        <v>382.73</v>
      </c>
      <c r="C20" s="59">
        <v>0</v>
      </c>
      <c r="D20" s="2">
        <f t="shared" si="0"/>
        <v>382.73</v>
      </c>
      <c r="E20" s="67">
        <v>0.06179</v>
      </c>
      <c r="F20" s="20">
        <f t="shared" si="1"/>
        <v>23.6488867</v>
      </c>
      <c r="G20" s="80">
        <f t="shared" si="12"/>
        <v>5.278305938115678</v>
      </c>
      <c r="H20" s="80">
        <f t="shared" si="3"/>
        <v>0</v>
      </c>
      <c r="I20" s="65">
        <f t="shared" si="4"/>
        <v>28.927192638115677</v>
      </c>
      <c r="J20" s="62">
        <v>1050.67</v>
      </c>
      <c r="K20" s="2">
        <f t="shared" si="5"/>
        <v>30392.933489089002</v>
      </c>
      <c r="L20" s="53">
        <f t="shared" si="6"/>
        <v>382.73</v>
      </c>
      <c r="M20" s="186">
        <f t="shared" si="11"/>
        <v>79.4108993</v>
      </c>
      <c r="N20" s="85">
        <v>123.885</v>
      </c>
      <c r="O20" s="20">
        <f t="shared" si="7"/>
        <v>129.16330593811568</v>
      </c>
      <c r="P20" s="65">
        <f t="shared" si="8"/>
        <v>100.2361133</v>
      </c>
      <c r="Q20" s="58">
        <v>3908.1</v>
      </c>
      <c r="R20" s="1">
        <f t="shared" si="9"/>
        <v>105315.07716091101</v>
      </c>
      <c r="S20" s="4">
        <f t="shared" si="10"/>
        <v>26.947897229065532</v>
      </c>
      <c r="U20" s="3"/>
    </row>
    <row r="21" spans="1:21" ht="12.75">
      <c r="A21" s="61" t="s">
        <v>15</v>
      </c>
      <c r="B21" s="85">
        <v>433.542</v>
      </c>
      <c r="C21" s="59">
        <v>0</v>
      </c>
      <c r="D21" s="2">
        <f t="shared" si="0"/>
        <v>433.542</v>
      </c>
      <c r="E21" s="67">
        <v>0.06393</v>
      </c>
      <c r="F21" s="20">
        <f t="shared" si="1"/>
        <v>27.71634006</v>
      </c>
      <c r="G21" s="80">
        <f t="shared" si="12"/>
        <v>5.97906438748608</v>
      </c>
      <c r="H21" s="80">
        <f t="shared" si="3"/>
        <v>0</v>
      </c>
      <c r="I21" s="65">
        <f t="shared" si="4"/>
        <v>33.695404447486084</v>
      </c>
      <c r="J21" s="62">
        <v>1050.67</v>
      </c>
      <c r="K21" s="2">
        <f t="shared" si="5"/>
        <v>35402.75059084021</v>
      </c>
      <c r="L21" s="53">
        <f t="shared" si="6"/>
        <v>433.542</v>
      </c>
      <c r="M21" s="186">
        <f t="shared" si="11"/>
        <v>81.65933310000003</v>
      </c>
      <c r="N21" s="85">
        <v>215.325</v>
      </c>
      <c r="O21" s="20">
        <f t="shared" si="7"/>
        <v>221.30406438748608</v>
      </c>
      <c r="P21" s="65">
        <f t="shared" si="8"/>
        <v>187.60865994</v>
      </c>
      <c r="Q21" s="58">
        <v>5485.5</v>
      </c>
      <c r="R21" s="1">
        <f t="shared" si="9"/>
        <v>197114.7907391598</v>
      </c>
      <c r="S21" s="4">
        <f t="shared" si="10"/>
        <v>35.933787392062676</v>
      </c>
      <c r="U21" s="3"/>
    </row>
    <row r="22" spans="1:21" ht="12.75">
      <c r="A22" s="61" t="s">
        <v>16</v>
      </c>
      <c r="B22" s="85">
        <v>432.122</v>
      </c>
      <c r="C22" s="59">
        <v>0</v>
      </c>
      <c r="D22" s="2">
        <f t="shared" si="0"/>
        <v>432.122</v>
      </c>
      <c r="E22" s="67">
        <v>0.06389</v>
      </c>
      <c r="F22" s="20">
        <f t="shared" si="1"/>
        <v>27.608274580000003</v>
      </c>
      <c r="G22" s="80">
        <f t="shared" si="12"/>
        <v>5.959480883626639</v>
      </c>
      <c r="H22" s="80">
        <f t="shared" si="3"/>
        <v>0</v>
      </c>
      <c r="I22" s="65">
        <f t="shared" si="4"/>
        <v>33.56775546362664</v>
      </c>
      <c r="J22" s="62">
        <v>1050.67</v>
      </c>
      <c r="K22" s="2">
        <f t="shared" si="5"/>
        <v>35268.6336329686</v>
      </c>
      <c r="L22" s="53">
        <f t="shared" si="6"/>
        <v>432.122</v>
      </c>
      <c r="M22" s="186">
        <f t="shared" si="11"/>
        <v>81.6173063</v>
      </c>
      <c r="N22" s="85">
        <v>167.654</v>
      </c>
      <c r="O22" s="20">
        <f t="shared" si="7"/>
        <v>173.61348088362664</v>
      </c>
      <c r="P22" s="65">
        <f t="shared" si="8"/>
        <v>140.04572542</v>
      </c>
      <c r="Q22" s="58">
        <v>4673.4</v>
      </c>
      <c r="R22" s="1">
        <f t="shared" si="9"/>
        <v>147141.8423270314</v>
      </c>
      <c r="S22" s="4">
        <f t="shared" si="10"/>
        <v>31.484966475591946</v>
      </c>
      <c r="U22" s="3"/>
    </row>
    <row r="23" spans="1:21" ht="12.75">
      <c r="A23" s="61" t="s">
        <v>197</v>
      </c>
      <c r="B23" s="85">
        <v>0</v>
      </c>
      <c r="C23" s="59">
        <v>273</v>
      </c>
      <c r="D23" s="2">
        <f t="shared" si="0"/>
        <v>273</v>
      </c>
      <c r="E23" s="67">
        <v>0.06392</v>
      </c>
      <c r="F23" s="20">
        <f t="shared" si="1"/>
        <v>17.45016</v>
      </c>
      <c r="G23" s="80">
        <f t="shared" si="12"/>
        <v>0</v>
      </c>
      <c r="H23" s="80">
        <f t="shared" si="3"/>
        <v>3.6324821304500934</v>
      </c>
      <c r="I23" s="65">
        <f t="shared" si="4"/>
        <v>21.082642130450093</v>
      </c>
      <c r="J23" s="62">
        <v>1050.67</v>
      </c>
      <c r="K23" s="2">
        <f t="shared" si="5"/>
        <v>22150.8996072</v>
      </c>
      <c r="L23" s="53">
        <f t="shared" si="6"/>
        <v>273</v>
      </c>
      <c r="M23" s="186">
        <f t="shared" si="11"/>
        <v>81.1388264</v>
      </c>
      <c r="N23" s="85">
        <v>159.12</v>
      </c>
      <c r="O23" s="20">
        <f t="shared" si="7"/>
        <v>162.7524821304501</v>
      </c>
      <c r="P23" s="65">
        <f t="shared" si="8"/>
        <v>141.66984</v>
      </c>
      <c r="Q23" s="58">
        <v>6616.4</v>
      </c>
      <c r="R23" s="1">
        <f t="shared" si="9"/>
        <v>148848.2507928</v>
      </c>
      <c r="S23" s="4">
        <f t="shared" si="10"/>
        <v>22.496863973278522</v>
      </c>
      <c r="U23" s="3"/>
    </row>
    <row r="24" spans="1:21" ht="12.75">
      <c r="A24" s="61" t="s">
        <v>195</v>
      </c>
      <c r="B24" s="85">
        <v>100.462</v>
      </c>
      <c r="C24" s="59">
        <v>42</v>
      </c>
      <c r="D24" s="2">
        <f t="shared" si="0"/>
        <v>142.462</v>
      </c>
      <c r="E24" s="67">
        <v>0.06464</v>
      </c>
      <c r="F24" s="20">
        <f t="shared" si="1"/>
        <v>9.20874368</v>
      </c>
      <c r="G24" s="80">
        <f t="shared" si="12"/>
        <v>1.3854915244558235</v>
      </c>
      <c r="H24" s="80">
        <f t="shared" si="3"/>
        <v>0.5588434046846298</v>
      </c>
      <c r="I24" s="65">
        <f t="shared" si="4"/>
        <v>11.153078609140453</v>
      </c>
      <c r="J24" s="62">
        <v>1050.67</v>
      </c>
      <c r="K24" s="2">
        <f t="shared" si="5"/>
        <v>11718.2051022656</v>
      </c>
      <c r="L24" s="53">
        <f t="shared" si="6"/>
        <v>142.462</v>
      </c>
      <c r="M24" s="186">
        <f t="shared" si="11"/>
        <v>82.25495291562382</v>
      </c>
      <c r="N24" s="85">
        <v>97.99</v>
      </c>
      <c r="O24" s="20">
        <f t="shared" si="7"/>
        <v>99.93433492914045</v>
      </c>
      <c r="P24" s="65">
        <f t="shared" si="8"/>
        <v>88.78125632</v>
      </c>
      <c r="Q24" s="58">
        <v>2971.4</v>
      </c>
      <c r="R24" s="1">
        <f t="shared" si="9"/>
        <v>93279.8025777344</v>
      </c>
      <c r="S24" s="4">
        <f t="shared" si="10"/>
        <v>31.39254310349815</v>
      </c>
      <c r="U24" s="3"/>
    </row>
    <row r="25" spans="1:21" ht="12.75">
      <c r="A25" s="61" t="s">
        <v>196</v>
      </c>
      <c r="B25" s="85">
        <v>0</v>
      </c>
      <c r="C25" s="59">
        <v>65</v>
      </c>
      <c r="D25" s="2">
        <f t="shared" si="0"/>
        <v>65</v>
      </c>
      <c r="E25" s="67">
        <v>0.06611</v>
      </c>
      <c r="F25" s="20">
        <f t="shared" si="1"/>
        <v>4.29715</v>
      </c>
      <c r="G25" s="80">
        <f t="shared" si="12"/>
        <v>0</v>
      </c>
      <c r="H25" s="80">
        <f t="shared" si="3"/>
        <v>0.8648766977262128</v>
      </c>
      <c r="I25" s="65">
        <f t="shared" si="4"/>
        <v>5.162026697726213</v>
      </c>
      <c r="J25" s="62">
        <v>1050.67</v>
      </c>
      <c r="K25" s="2">
        <f t="shared" si="5"/>
        <v>5423.5865905</v>
      </c>
      <c r="L25" s="53">
        <f t="shared" si="6"/>
        <v>65</v>
      </c>
      <c r="M25" s="186">
        <f t="shared" si="11"/>
        <v>83.4397937</v>
      </c>
      <c r="N25" s="85">
        <v>177.92</v>
      </c>
      <c r="O25" s="20">
        <f t="shared" si="7"/>
        <v>178.7848766977262</v>
      </c>
      <c r="P25" s="65">
        <f t="shared" si="8"/>
        <v>173.62284999999997</v>
      </c>
      <c r="Q25" s="58">
        <v>6893.8</v>
      </c>
      <c r="R25" s="1">
        <f t="shared" si="9"/>
        <v>182420.31980949998</v>
      </c>
      <c r="S25" s="4">
        <f t="shared" si="10"/>
        <v>26.461504512678054</v>
      </c>
      <c r="U25" s="3"/>
    </row>
    <row r="26" spans="1:21" ht="12.75">
      <c r="A26" s="61" t="s">
        <v>49</v>
      </c>
      <c r="B26" s="85">
        <v>471.634</v>
      </c>
      <c r="C26" s="59">
        <v>0</v>
      </c>
      <c r="D26" s="2">
        <f t="shared" si="0"/>
        <v>471.634</v>
      </c>
      <c r="E26" s="67">
        <v>0.06507</v>
      </c>
      <c r="F26" s="20">
        <f t="shared" si="1"/>
        <v>30.689224380000002</v>
      </c>
      <c r="G26" s="80">
        <f t="shared" si="12"/>
        <v>6.504398774115564</v>
      </c>
      <c r="H26" s="80">
        <f t="shared" si="3"/>
        <v>0</v>
      </c>
      <c r="I26" s="65">
        <f t="shared" si="4"/>
        <v>37.19362315411556</v>
      </c>
      <c r="J26" s="62">
        <v>1050.67</v>
      </c>
      <c r="K26" s="2">
        <f t="shared" si="5"/>
        <v>39078.2240393346</v>
      </c>
      <c r="L26" s="53">
        <f t="shared" si="6"/>
        <v>471.634</v>
      </c>
      <c r="M26" s="186">
        <f t="shared" si="11"/>
        <v>82.8570969</v>
      </c>
      <c r="N26" s="85">
        <v>35.51</v>
      </c>
      <c r="O26" s="20">
        <f t="shared" si="7"/>
        <v>42.01439877411556</v>
      </c>
      <c r="P26" s="65">
        <f t="shared" si="8"/>
        <v>4.820775619999999</v>
      </c>
      <c r="Q26" s="58">
        <v>663.9</v>
      </c>
      <c r="R26" s="1">
        <f t="shared" si="9"/>
        <v>5065.044320665399</v>
      </c>
      <c r="S26" s="4">
        <f t="shared" si="10"/>
        <v>7.629227776269618</v>
      </c>
      <c r="U26" s="3"/>
    </row>
    <row r="27" spans="1:21" ht="12.75">
      <c r="A27" s="61" t="s">
        <v>97</v>
      </c>
      <c r="B27" s="85">
        <v>44.66</v>
      </c>
      <c r="C27" s="59">
        <v>83</v>
      </c>
      <c r="D27" s="2">
        <f t="shared" si="0"/>
        <v>127.66</v>
      </c>
      <c r="E27" s="67">
        <v>0.0644</v>
      </c>
      <c r="F27" s="20">
        <f t="shared" si="1"/>
        <v>8.221304</v>
      </c>
      <c r="G27" s="80">
        <f t="shared" si="12"/>
        <v>0.615914987579354</v>
      </c>
      <c r="H27" s="80">
        <f t="shared" si="3"/>
        <v>1.1043810140196257</v>
      </c>
      <c r="I27" s="65">
        <f t="shared" si="4"/>
        <v>9.94160000159898</v>
      </c>
      <c r="J27" s="62">
        <v>1050.67</v>
      </c>
      <c r="K27" s="2">
        <f t="shared" si="5"/>
        <v>10445.340873680001</v>
      </c>
      <c r="L27" s="53">
        <f t="shared" si="6"/>
        <v>127.66</v>
      </c>
      <c r="M27" s="186">
        <f t="shared" si="11"/>
        <v>81.82156410527966</v>
      </c>
      <c r="N27" s="85">
        <v>84.1</v>
      </c>
      <c r="O27" s="20">
        <f t="shared" si="7"/>
        <v>85.82029600159898</v>
      </c>
      <c r="P27" s="65">
        <f t="shared" si="8"/>
        <v>75.87869599999999</v>
      </c>
      <c r="Q27" s="58">
        <v>2905.2</v>
      </c>
      <c r="R27" s="1">
        <f t="shared" si="9"/>
        <v>79723.46952632</v>
      </c>
      <c r="S27" s="4">
        <f t="shared" si="10"/>
        <v>27.44164585099821</v>
      </c>
      <c r="U27" s="3"/>
    </row>
    <row r="28" spans="1:21" ht="12.75">
      <c r="A28" s="73" t="s">
        <v>17</v>
      </c>
      <c r="B28" s="88">
        <f aca="true" t="shared" si="13" ref="B28:I28">SUM(B6:B27)</f>
        <v>7102.135000000001</v>
      </c>
      <c r="C28" s="74">
        <f t="shared" si="13"/>
        <v>1905</v>
      </c>
      <c r="D28" s="87">
        <f t="shared" si="13"/>
        <v>9007.135</v>
      </c>
      <c r="E28" s="151">
        <f t="shared" si="13"/>
        <v>1.3997000000000002</v>
      </c>
      <c r="F28" s="75">
        <f t="shared" si="13"/>
        <v>570.4031532900001</v>
      </c>
      <c r="G28" s="81">
        <f t="shared" si="13"/>
        <v>97.94154714955714</v>
      </c>
      <c r="H28" s="81">
        <f t="shared" si="13"/>
        <v>25.347540141052853</v>
      </c>
      <c r="I28" s="76">
        <f t="shared" si="13"/>
        <v>693.69224058061</v>
      </c>
      <c r="J28" s="62">
        <v>1050.67</v>
      </c>
      <c r="K28" s="73">
        <f>SUM(K6:K26)</f>
        <v>718468.004030743</v>
      </c>
      <c r="L28" s="152">
        <f>SUM(L6:L27)</f>
        <v>9007.135</v>
      </c>
      <c r="M28" s="152">
        <f>SUM(M6:M27)</f>
        <v>1824.0268270047086</v>
      </c>
      <c r="N28" s="141">
        <f>SUM(N6:N27)</f>
        <v>3883.953</v>
      </c>
      <c r="O28" s="100">
        <f>SUM(SUM(O6:O27))</f>
        <v>4007.2420872906096</v>
      </c>
      <c r="P28" s="101">
        <f>SUM(P6:P27)</f>
        <v>3313.5498467100006</v>
      </c>
      <c r="Q28" s="83">
        <f>Q6+Q7+Q8+Q9+Q10+Q11+Q12+Q13+Q14+Q15+Q16+Q17+Q18+Q19+Q20+Q21+Q22+Q23</f>
        <v>105007.7</v>
      </c>
      <c r="R28" s="78">
        <f t="shared" si="9"/>
        <v>3481447.4174427968</v>
      </c>
      <c r="S28" s="79">
        <f t="shared" si="10"/>
        <v>33.15421076209456</v>
      </c>
      <c r="U28" s="3"/>
    </row>
    <row r="29" spans="1:19" s="42" customFormat="1" ht="11.25">
      <c r="A29" s="138"/>
      <c r="B29" s="158">
        <f>SUM(B6:B27)</f>
        <v>7102.135000000001</v>
      </c>
      <c r="C29" s="315">
        <f>SUM(C6:C27)</f>
        <v>1905</v>
      </c>
      <c r="D29" s="315"/>
      <c r="E29" s="159"/>
      <c r="F29" s="160"/>
      <c r="G29" s="160"/>
      <c r="H29" s="160"/>
      <c r="I29" s="161"/>
      <c r="J29" s="162"/>
      <c r="K29" s="138"/>
      <c r="L29" s="163"/>
      <c r="M29" s="164"/>
      <c r="N29" s="50">
        <f>SUM(N6:N27)</f>
        <v>3883.953</v>
      </c>
      <c r="O29" s="50"/>
      <c r="Q29" s="165"/>
      <c r="R29" s="138"/>
      <c r="S29" s="160"/>
    </row>
    <row r="30" spans="1:19" s="42" customFormat="1" ht="11.25">
      <c r="A30" s="138"/>
      <c r="B30" s="42">
        <f>B29*14.49</f>
        <v>102909.93615000002</v>
      </c>
      <c r="C30" s="316">
        <f>C29*13.89</f>
        <v>26460.45</v>
      </c>
      <c r="D30" s="316"/>
      <c r="E30" s="159"/>
      <c r="F30" s="160"/>
      <c r="G30" s="160"/>
      <c r="H30" s="160"/>
      <c r="I30" s="161"/>
      <c r="J30" s="162"/>
      <c r="K30" s="138"/>
      <c r="L30" s="163"/>
      <c r="M30" s="164"/>
      <c r="N30" s="48">
        <f>N29*1050.67</f>
        <v>4080752.89851</v>
      </c>
      <c r="O30" s="316">
        <f>O28*1050.67</f>
        <v>4210289.043853625</v>
      </c>
      <c r="P30" s="316"/>
      <c r="Q30" s="165"/>
      <c r="R30" s="138"/>
      <c r="S30" s="160"/>
    </row>
    <row r="31" spans="1:19" s="42" customFormat="1" ht="11.25">
      <c r="A31" s="138"/>
      <c r="C31" s="48"/>
      <c r="D31" s="48"/>
      <c r="E31" s="159"/>
      <c r="F31" s="160"/>
      <c r="G31" s="160"/>
      <c r="H31" s="160"/>
      <c r="I31" s="161"/>
      <c r="J31" s="162"/>
      <c r="K31" s="138"/>
      <c r="L31" s="163"/>
      <c r="M31" s="164"/>
      <c r="N31" s="48"/>
      <c r="O31" s="316">
        <f>B30+C30+N30</f>
        <v>4210123.28466</v>
      </c>
      <c r="P31" s="316"/>
      <c r="Q31" s="165"/>
      <c r="R31" s="138"/>
      <c r="S31" s="160"/>
    </row>
    <row r="32" spans="1:19" s="42" customFormat="1" ht="11.25">
      <c r="A32" s="138"/>
      <c r="C32" s="48"/>
      <c r="D32" s="48"/>
      <c r="E32" s="159"/>
      <c r="F32" s="160"/>
      <c r="G32" s="160"/>
      <c r="H32" s="160"/>
      <c r="I32" s="161"/>
      <c r="J32" s="162"/>
      <c r="K32" s="138"/>
      <c r="L32" s="163"/>
      <c r="M32" s="164"/>
      <c r="N32" s="48"/>
      <c r="O32" s="48"/>
      <c r="P32" s="48"/>
      <c r="Q32" s="165"/>
      <c r="R32" s="138"/>
      <c r="S32" s="160"/>
    </row>
    <row r="33" spans="1:19" s="42" customFormat="1" ht="11.25">
      <c r="A33" s="138"/>
      <c r="C33" s="48"/>
      <c r="D33" s="48"/>
      <c r="E33" s="159"/>
      <c r="F33" s="160"/>
      <c r="G33" s="160"/>
      <c r="H33" s="160"/>
      <c r="I33" s="161"/>
      <c r="J33" s="162"/>
      <c r="K33" s="138"/>
      <c r="L33" s="163"/>
      <c r="M33" s="164"/>
      <c r="N33" s="48"/>
      <c r="O33" s="48"/>
      <c r="P33" s="48"/>
      <c r="Q33" s="165"/>
      <c r="R33" s="138"/>
      <c r="S33" s="160"/>
    </row>
    <row r="34" spans="1:19" s="42" customFormat="1" ht="11.25">
      <c r="A34" s="138"/>
      <c r="C34" s="48"/>
      <c r="D34" s="48"/>
      <c r="E34" s="159"/>
      <c r="F34" s="160"/>
      <c r="G34" s="160"/>
      <c r="H34" s="160"/>
      <c r="I34" s="161"/>
      <c r="J34" s="162"/>
      <c r="K34" s="138"/>
      <c r="L34" s="163"/>
      <c r="M34" s="164"/>
      <c r="N34" s="48"/>
      <c r="O34" s="48"/>
      <c r="P34" s="48"/>
      <c r="Q34" s="165"/>
      <c r="R34" s="138"/>
      <c r="S34" s="160"/>
    </row>
    <row r="35" spans="1:19" s="42" customFormat="1" ht="11.25">
      <c r="A35" s="138"/>
      <c r="C35" s="48"/>
      <c r="D35" s="48"/>
      <c r="E35" s="159"/>
      <c r="F35" s="160"/>
      <c r="G35" s="160"/>
      <c r="H35" s="160"/>
      <c r="I35" s="161"/>
      <c r="J35" s="162"/>
      <c r="K35" s="138"/>
      <c r="L35" s="163"/>
      <c r="M35" s="164"/>
      <c r="N35" s="48"/>
      <c r="O35" s="48"/>
      <c r="P35" s="48"/>
      <c r="Q35" s="165"/>
      <c r="R35" s="138"/>
      <c r="S35" s="160"/>
    </row>
    <row r="36" spans="1:19" s="42" customFormat="1" ht="11.25">
      <c r="A36" s="138"/>
      <c r="C36" s="48"/>
      <c r="D36" s="48"/>
      <c r="E36" s="159"/>
      <c r="F36" s="160"/>
      <c r="G36" s="160"/>
      <c r="H36" s="160"/>
      <c r="I36" s="161"/>
      <c r="J36" s="162"/>
      <c r="K36" s="138"/>
      <c r="L36" s="163"/>
      <c r="M36" s="164"/>
      <c r="N36" s="48"/>
      <c r="O36" s="48"/>
      <c r="P36" s="48"/>
      <c r="Q36" s="165"/>
      <c r="R36" s="138"/>
      <c r="S36" s="160"/>
    </row>
    <row r="37" spans="1:19" s="42" customFormat="1" ht="11.25">
      <c r="A37" s="138"/>
      <c r="C37" s="48"/>
      <c r="D37" s="48"/>
      <c r="E37" s="159"/>
      <c r="F37" s="160"/>
      <c r="G37" s="160"/>
      <c r="H37" s="160"/>
      <c r="I37" s="161"/>
      <c r="J37" s="162"/>
      <c r="K37" s="138"/>
      <c r="L37" s="163"/>
      <c r="M37" s="164"/>
      <c r="N37" s="48"/>
      <c r="O37" s="48"/>
      <c r="P37" s="48"/>
      <c r="Q37" s="165"/>
      <c r="R37" s="138"/>
      <c r="S37" s="160"/>
    </row>
    <row r="38" spans="1:5" ht="12.75">
      <c r="A38" s="5" t="s">
        <v>137</v>
      </c>
      <c r="B38" s="9"/>
      <c r="C38" s="9"/>
      <c r="D38" s="5" t="s">
        <v>138</v>
      </c>
      <c r="E38" s="9"/>
    </row>
    <row r="39" ht="14.25" customHeight="1"/>
    <row r="40" ht="12.75">
      <c r="A40" t="s">
        <v>39</v>
      </c>
    </row>
    <row r="41" spans="1:19" s="42" customFormat="1" ht="11.25">
      <c r="A41" s="138"/>
      <c r="C41" s="48"/>
      <c r="D41" s="48"/>
      <c r="E41" s="159"/>
      <c r="F41" s="160"/>
      <c r="G41" s="160"/>
      <c r="H41" s="160"/>
      <c r="I41" s="161"/>
      <c r="J41" s="162"/>
      <c r="K41" s="138"/>
      <c r="L41" s="163"/>
      <c r="M41" s="164"/>
      <c r="N41" s="48"/>
      <c r="O41" s="48"/>
      <c r="P41" s="48"/>
      <c r="Q41" s="165"/>
      <c r="R41" s="138"/>
      <c r="S41" s="160"/>
    </row>
    <row r="42" spans="1:19" s="42" customFormat="1" ht="11.25">
      <c r="A42" s="138"/>
      <c r="C42" s="48"/>
      <c r="D42" s="48"/>
      <c r="E42" s="159"/>
      <c r="F42" s="160"/>
      <c r="G42" s="160"/>
      <c r="H42" s="160"/>
      <c r="I42" s="161"/>
      <c r="J42" s="162"/>
      <c r="K42" s="138"/>
      <c r="L42" s="163"/>
      <c r="M42" s="164"/>
      <c r="N42" s="48"/>
      <c r="O42" s="48"/>
      <c r="P42" s="48"/>
      <c r="Q42" s="165"/>
      <c r="R42" s="138"/>
      <c r="S42" s="160"/>
    </row>
    <row r="43" spans="1:19" s="42" customFormat="1" ht="11.25">
      <c r="A43" s="138"/>
      <c r="C43" s="48"/>
      <c r="D43" s="48"/>
      <c r="E43" s="159"/>
      <c r="F43" s="160"/>
      <c r="G43" s="160"/>
      <c r="H43" s="160"/>
      <c r="I43" s="161"/>
      <c r="J43" s="162"/>
      <c r="K43" s="138"/>
      <c r="L43" s="163"/>
      <c r="M43" s="164"/>
      <c r="N43" s="48"/>
      <c r="O43" s="48"/>
      <c r="P43" s="48"/>
      <c r="Q43" s="165"/>
      <c r="R43" s="138"/>
      <c r="S43" s="160"/>
    </row>
    <row r="44" spans="1:19" s="42" customFormat="1" ht="11.25">
      <c r="A44" s="138"/>
      <c r="C44" s="48"/>
      <c r="D44" s="48"/>
      <c r="E44" s="159"/>
      <c r="F44" s="160"/>
      <c r="G44" s="160"/>
      <c r="H44" s="160"/>
      <c r="I44" s="161"/>
      <c r="J44" s="162"/>
      <c r="K44" s="138"/>
      <c r="L44" s="163"/>
      <c r="M44" s="164"/>
      <c r="N44" s="48"/>
      <c r="O44" s="48"/>
      <c r="P44" s="48"/>
      <c r="Q44" s="165"/>
      <c r="R44" s="138"/>
      <c r="S44" s="160"/>
    </row>
    <row r="45" spans="1:19" ht="37.5" customHeight="1" hidden="1">
      <c r="A45" s="63" t="s">
        <v>136</v>
      </c>
      <c r="B45" s="63"/>
      <c r="C45" s="63"/>
      <c r="D45" s="63"/>
      <c r="E45" s="63"/>
      <c r="F45" s="64"/>
      <c r="G45" s="16"/>
      <c r="H45" s="279" t="s">
        <v>158</v>
      </c>
      <c r="I45" s="279"/>
      <c r="J45" s="15">
        <v>2014</v>
      </c>
      <c r="K45" s="16"/>
      <c r="L45" s="16" t="s">
        <v>120</v>
      </c>
      <c r="M45" s="16"/>
      <c r="N45" s="16"/>
      <c r="O45" s="16"/>
      <c r="P45" s="16"/>
      <c r="Q45" s="16" t="s">
        <v>119</v>
      </c>
      <c r="R45" s="16"/>
      <c r="S45" s="16"/>
    </row>
    <row r="46" spans="1:19" s="42" customFormat="1" ht="32.25" customHeight="1">
      <c r="A46" s="317" t="s">
        <v>162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</row>
    <row r="47" spans="1:19" ht="10.5" customHeight="1" hidden="1">
      <c r="A47" s="63"/>
      <c r="B47" s="63"/>
      <c r="C47" s="63"/>
      <c r="D47" s="63"/>
      <c r="E47" s="63"/>
      <c r="F47" s="64"/>
      <c r="G47" s="16"/>
      <c r="H47" s="155"/>
      <c r="I47" s="155"/>
      <c r="J47" s="15"/>
      <c r="K47" s="16"/>
      <c r="L47" s="16"/>
      <c r="M47" s="16"/>
      <c r="N47" s="16"/>
      <c r="O47" s="16"/>
      <c r="P47" s="16"/>
      <c r="Q47" s="16"/>
      <c r="R47" s="16"/>
      <c r="S47" s="16"/>
    </row>
    <row r="48" spans="1:16" ht="12.75" customHeight="1" hidden="1">
      <c r="A48" t="s">
        <v>160</v>
      </c>
      <c r="B48" s="10" t="s">
        <v>149</v>
      </c>
      <c r="D48" s="56"/>
      <c r="E48" s="56"/>
      <c r="F48" s="56"/>
      <c r="G48" s="156" t="s">
        <v>150</v>
      </c>
      <c r="H48" s="157"/>
      <c r="I48" s="157"/>
      <c r="J48" s="157"/>
      <c r="K48" s="56"/>
      <c r="L48" s="56"/>
      <c r="M48" s="90"/>
      <c r="N48" s="10"/>
      <c r="O48" s="173"/>
      <c r="P48" s="173"/>
    </row>
    <row r="49" spans="1:19" ht="25.5" customHeight="1" hidden="1">
      <c r="A49" s="252" t="s">
        <v>116</v>
      </c>
      <c r="B49" s="307" t="s">
        <v>171</v>
      </c>
      <c r="C49" s="308"/>
      <c r="D49" s="272" t="s">
        <v>172</v>
      </c>
      <c r="E49" s="270" t="s">
        <v>100</v>
      </c>
      <c r="F49" s="272" t="s">
        <v>173</v>
      </c>
      <c r="G49" s="278" t="s">
        <v>166</v>
      </c>
      <c r="H49" s="278" t="s">
        <v>169</v>
      </c>
      <c r="I49" s="341" t="s">
        <v>140</v>
      </c>
      <c r="J49" s="342"/>
      <c r="K49" s="272" t="s">
        <v>167</v>
      </c>
      <c r="L49" s="241" t="s">
        <v>168</v>
      </c>
      <c r="M49" s="272" t="s">
        <v>124</v>
      </c>
      <c r="N49" s="334" t="s">
        <v>125</v>
      </c>
      <c r="O49" s="189"/>
      <c r="P49" s="335"/>
      <c r="Q49" s="337"/>
      <c r="R49" s="339"/>
      <c r="S49" s="332"/>
    </row>
    <row r="50" spans="1:19" ht="70.5" customHeight="1" hidden="1">
      <c r="A50" s="253"/>
      <c r="B50" s="309"/>
      <c r="C50" s="310"/>
      <c r="D50" s="273"/>
      <c r="E50" s="271"/>
      <c r="F50" s="273"/>
      <c r="G50" s="242"/>
      <c r="H50" s="242"/>
      <c r="I50" s="343"/>
      <c r="J50" s="344"/>
      <c r="K50" s="330"/>
      <c r="L50" s="331"/>
      <c r="M50" s="330"/>
      <c r="N50" s="334"/>
      <c r="O50" s="137"/>
      <c r="P50" s="336"/>
      <c r="Q50" s="338"/>
      <c r="R50" s="340"/>
      <c r="S50" s="333"/>
    </row>
    <row r="51" spans="1:19" s="72" customFormat="1" ht="10.5" customHeight="1" hidden="1">
      <c r="A51" s="68">
        <v>1</v>
      </c>
      <c r="B51" s="311">
        <v>2</v>
      </c>
      <c r="C51" s="312"/>
      <c r="D51" s="69">
        <v>3</v>
      </c>
      <c r="E51" s="69">
        <v>4</v>
      </c>
      <c r="F51" s="69">
        <v>5</v>
      </c>
      <c r="G51" s="69">
        <v>6</v>
      </c>
      <c r="H51" s="69">
        <v>7</v>
      </c>
      <c r="I51" s="311">
        <v>8</v>
      </c>
      <c r="J51" s="312"/>
      <c r="K51" s="69">
        <v>9</v>
      </c>
      <c r="L51" s="69">
        <v>10</v>
      </c>
      <c r="M51" s="69">
        <v>11</v>
      </c>
      <c r="N51" s="69">
        <v>12</v>
      </c>
      <c r="O51" s="171"/>
      <c r="P51" s="171"/>
      <c r="Q51" s="171"/>
      <c r="R51" s="171"/>
      <c r="S51" s="171"/>
    </row>
    <row r="52" spans="1:19" ht="12.75" hidden="1">
      <c r="A52" s="61" t="s">
        <v>147</v>
      </c>
      <c r="B52" s="304">
        <v>327.69</v>
      </c>
      <c r="C52" s="305"/>
      <c r="D52" s="2">
        <f>B52+C52</f>
        <v>327.69</v>
      </c>
      <c r="E52" s="67">
        <v>0.0546</v>
      </c>
      <c r="F52" s="20">
        <f>D52*E52</f>
        <v>17.891874</v>
      </c>
      <c r="G52" s="80">
        <v>1199.03</v>
      </c>
      <c r="H52" s="80">
        <v>12.89</v>
      </c>
      <c r="I52" s="313">
        <f>B52*12.89/1199.03</f>
        <v>3.5227843340033194</v>
      </c>
      <c r="J52" s="314"/>
      <c r="K52" s="54">
        <v>34.823</v>
      </c>
      <c r="L52" s="185">
        <f>K52+I52</f>
        <v>38.34578433400332</v>
      </c>
      <c r="M52" s="2">
        <f>L52*G52</f>
        <v>45977.74579</v>
      </c>
      <c r="N52" s="21">
        <f>M52/D52</f>
        <v>140.3086630351857</v>
      </c>
      <c r="O52" s="6"/>
      <c r="P52" s="174"/>
      <c r="Q52" s="137"/>
      <c r="R52" s="137"/>
      <c r="S52" s="175"/>
    </row>
    <row r="53" spans="1:19" ht="12.75" hidden="1">
      <c r="A53" s="61" t="s">
        <v>148</v>
      </c>
      <c r="B53" s="304">
        <v>286.322</v>
      </c>
      <c r="C53" s="305"/>
      <c r="D53" s="2">
        <f>B53+C53</f>
        <v>286.322</v>
      </c>
      <c r="E53" s="67">
        <v>0.052</v>
      </c>
      <c r="F53" s="20">
        <f>D53*E53</f>
        <v>14.888743999999999</v>
      </c>
      <c r="G53" s="80">
        <v>1199.03</v>
      </c>
      <c r="H53" s="80">
        <v>12.89</v>
      </c>
      <c r="I53" s="313">
        <f>B53*12.89/1199.03</f>
        <v>3.0780635847309914</v>
      </c>
      <c r="J53" s="314"/>
      <c r="K53" s="54">
        <v>29.292</v>
      </c>
      <c r="L53" s="185">
        <f>K53+I53</f>
        <v>32.37006358473099</v>
      </c>
      <c r="M53" s="2">
        <f>L53*G53</f>
        <v>38812.67734</v>
      </c>
      <c r="N53" s="21">
        <f>M53/D53</f>
        <v>135.55604298656758</v>
      </c>
      <c r="O53" s="6"/>
      <c r="P53" s="174"/>
      <c r="Q53" s="137"/>
      <c r="R53" s="137"/>
      <c r="S53" s="175"/>
    </row>
    <row r="54" spans="1:19" ht="12.75" hidden="1">
      <c r="A54" s="61" t="s">
        <v>184</v>
      </c>
      <c r="B54" s="304">
        <v>77</v>
      </c>
      <c r="C54" s="305"/>
      <c r="D54" s="2">
        <f>B54+C54</f>
        <v>77</v>
      </c>
      <c r="E54" s="67">
        <v>0.052</v>
      </c>
      <c r="F54" s="20">
        <f>D54*E54</f>
        <v>4.004</v>
      </c>
      <c r="G54" s="80">
        <v>1199.03</v>
      </c>
      <c r="H54" s="80">
        <v>12.89</v>
      </c>
      <c r="I54" s="313">
        <f>B54*12.89/1199.03</f>
        <v>0.827777453441532</v>
      </c>
      <c r="J54" s="314"/>
      <c r="K54" s="54">
        <v>10.375</v>
      </c>
      <c r="L54" s="185">
        <f>K54+I54</f>
        <v>11.202777453441533</v>
      </c>
      <c r="M54" s="2">
        <f>L54*G54</f>
        <v>13432.466250000001</v>
      </c>
      <c r="N54" s="21">
        <f>M54/D54</f>
        <v>174.44761363636366</v>
      </c>
      <c r="O54" s="6"/>
      <c r="P54" s="174"/>
      <c r="Q54" s="137"/>
      <c r="R54" s="137"/>
      <c r="S54" s="175"/>
    </row>
    <row r="55" spans="1:19" ht="12.75" hidden="1">
      <c r="A55" s="41" t="s">
        <v>89</v>
      </c>
      <c r="B55" s="292">
        <f>SUM(B52:C54)</f>
        <v>691.012</v>
      </c>
      <c r="C55" s="293"/>
      <c r="D55" s="179">
        <f>SUM(D52:D54)</f>
        <v>691.012</v>
      </c>
      <c r="E55" s="179"/>
      <c r="F55" s="179"/>
      <c r="G55" s="179"/>
      <c r="H55" s="179"/>
      <c r="I55" s="300">
        <f>SUM(I52:I54)</f>
        <v>7.428625372175842</v>
      </c>
      <c r="J55" s="301"/>
      <c r="K55" s="179">
        <f>SUM(K52:K54)</f>
        <v>74.49000000000001</v>
      </c>
      <c r="L55" s="179">
        <f>SUM(L52:L54)</f>
        <v>81.91862537217584</v>
      </c>
      <c r="M55" s="179">
        <f>SUM(M52:M54)</f>
        <v>98222.88938000001</v>
      </c>
      <c r="N55" s="182"/>
      <c r="O55" s="187"/>
      <c r="S55" s="177"/>
    </row>
    <row r="56" spans="1:19" s="42" customFormat="1" ht="11.25" hidden="1">
      <c r="A56" s="166"/>
      <c r="B56" s="158">
        <f>SUM(B52:B54)</f>
        <v>691.012</v>
      </c>
      <c r="C56" s="167"/>
      <c r="D56" s="166"/>
      <c r="E56" s="167"/>
      <c r="F56" s="167"/>
      <c r="I56" s="167"/>
      <c r="J56" s="168"/>
      <c r="K56" s="50">
        <f>SUM(K52:K54)</f>
        <v>74.49000000000001</v>
      </c>
      <c r="L56" s="50">
        <f>SUM(L52:L54)</f>
        <v>81.91862537217584</v>
      </c>
      <c r="N56" s="167"/>
      <c r="O56" s="188"/>
      <c r="S56" s="50"/>
    </row>
    <row r="57" spans="2:19" s="42" customFormat="1" ht="11.25" hidden="1">
      <c r="B57" s="42">
        <f>B56*12.89</f>
        <v>8907.14468</v>
      </c>
      <c r="I57" s="166"/>
      <c r="K57" s="48">
        <f>K56*1199.03</f>
        <v>89315.74470000001</v>
      </c>
      <c r="L57" s="48">
        <f>L56*1199.03</f>
        <v>98222.88938</v>
      </c>
      <c r="M57" s="48"/>
      <c r="O57" s="188"/>
      <c r="S57" s="50"/>
    </row>
    <row r="58" spans="11:19" s="42" customFormat="1" ht="11.25" hidden="1">
      <c r="K58" s="48"/>
      <c r="L58" s="48">
        <f>B57+K57</f>
        <v>98222.88938000001</v>
      </c>
      <c r="M58" s="48"/>
      <c r="O58" s="166"/>
      <c r="S58" s="50"/>
    </row>
    <row r="59" spans="11:19" s="42" customFormat="1" ht="12">
      <c r="K59" s="48"/>
      <c r="L59" s="16" t="s">
        <v>120</v>
      </c>
      <c r="M59" s="16"/>
      <c r="N59" s="16"/>
      <c r="O59" s="16"/>
      <c r="P59" s="16"/>
      <c r="Q59" s="16" t="s">
        <v>119</v>
      </c>
      <c r="R59" s="16"/>
      <c r="S59" s="50"/>
    </row>
    <row r="60" spans="1:19" ht="39.75" customHeight="1">
      <c r="A60" s="63" t="s">
        <v>163</v>
      </c>
      <c r="B60" s="63"/>
      <c r="C60" s="63"/>
      <c r="D60" s="63"/>
      <c r="E60" s="63"/>
      <c r="F60" s="64"/>
      <c r="G60" s="16"/>
      <c r="H60" s="279" t="s">
        <v>194</v>
      </c>
      <c r="I60" s="279"/>
      <c r="J60" s="15">
        <v>2014</v>
      </c>
      <c r="K60" s="16"/>
      <c r="L60" s="16"/>
      <c r="M60" s="16"/>
      <c r="N60" s="16"/>
      <c r="O60" s="16"/>
      <c r="P60" s="16"/>
      <c r="Q60" s="16"/>
      <c r="R60" s="16"/>
      <c r="S60" s="16"/>
    </row>
    <row r="61" spans="1:20" ht="12.75">
      <c r="A61" t="s">
        <v>161</v>
      </c>
      <c r="M61" s="319" t="s">
        <v>190</v>
      </c>
      <c r="N61" s="319"/>
      <c r="P61" s="318" t="s">
        <v>189</v>
      </c>
      <c r="Q61" s="318"/>
      <c r="R61" s="318"/>
      <c r="S61" s="318"/>
      <c r="T61" s="318"/>
    </row>
    <row r="62" spans="1:22" ht="25.5" customHeight="1">
      <c r="A62" s="252" t="s">
        <v>116</v>
      </c>
      <c r="B62" s="307" t="s">
        <v>174</v>
      </c>
      <c r="C62" s="308"/>
      <c r="D62" s="272" t="s">
        <v>172</v>
      </c>
      <c r="E62" s="278" t="s">
        <v>166</v>
      </c>
      <c r="F62" s="278" t="s">
        <v>169</v>
      </c>
      <c r="G62" s="284" t="s">
        <v>175</v>
      </c>
      <c r="H62" s="241" t="s">
        <v>185</v>
      </c>
      <c r="I62" s="270" t="s">
        <v>133</v>
      </c>
      <c r="J62" s="346" t="s">
        <v>187</v>
      </c>
      <c r="K62" s="294" t="s">
        <v>164</v>
      </c>
      <c r="L62" s="295"/>
      <c r="M62" s="266" t="s">
        <v>115</v>
      </c>
      <c r="N62" s="243" t="s">
        <v>117</v>
      </c>
      <c r="P62" s="274" t="s">
        <v>188</v>
      </c>
      <c r="Q62" s="326" t="s">
        <v>186</v>
      </c>
      <c r="R62" s="278" t="s">
        <v>164</v>
      </c>
      <c r="S62" s="266" t="s">
        <v>115</v>
      </c>
      <c r="T62" s="324" t="s">
        <v>117</v>
      </c>
      <c r="U62" s="321"/>
      <c r="V62" s="6"/>
    </row>
    <row r="63" spans="1:22" ht="70.5" customHeight="1">
      <c r="A63" s="253"/>
      <c r="B63" s="309"/>
      <c r="C63" s="310"/>
      <c r="D63" s="273"/>
      <c r="E63" s="242"/>
      <c r="F63" s="242"/>
      <c r="G63" s="283"/>
      <c r="H63" s="269"/>
      <c r="I63" s="345"/>
      <c r="J63" s="347"/>
      <c r="K63" s="296"/>
      <c r="L63" s="297"/>
      <c r="M63" s="267"/>
      <c r="N63" s="240"/>
      <c r="P63" s="275"/>
      <c r="Q63" s="327"/>
      <c r="R63" s="323"/>
      <c r="S63" s="267"/>
      <c r="T63" s="325"/>
      <c r="U63" s="322"/>
      <c r="V63" s="6"/>
    </row>
    <row r="64" spans="1:22" s="72" customFormat="1" ht="10.5" customHeight="1">
      <c r="A64" s="68"/>
      <c r="B64" s="311">
        <v>1</v>
      </c>
      <c r="C64" s="312"/>
      <c r="D64" s="69">
        <v>2</v>
      </c>
      <c r="E64" s="70">
        <v>3</v>
      </c>
      <c r="F64" s="70">
        <v>4</v>
      </c>
      <c r="G64" s="69">
        <v>5</v>
      </c>
      <c r="H64" s="69">
        <v>6</v>
      </c>
      <c r="I64" s="69">
        <v>7</v>
      </c>
      <c r="J64" s="232">
        <v>8</v>
      </c>
      <c r="K64" s="69"/>
      <c r="L64" s="69">
        <v>10</v>
      </c>
      <c r="M64" s="69">
        <v>11</v>
      </c>
      <c r="N64" s="69">
        <v>12</v>
      </c>
      <c r="P64" s="69">
        <v>15</v>
      </c>
      <c r="Q64" s="87"/>
      <c r="R64" s="235"/>
      <c r="S64" s="234">
        <v>10</v>
      </c>
      <c r="T64" s="235">
        <v>11</v>
      </c>
      <c r="U64" s="171"/>
      <c r="V64" s="178"/>
    </row>
    <row r="65" spans="1:22" ht="12.75">
      <c r="A65" s="61" t="s">
        <v>147</v>
      </c>
      <c r="B65" s="304">
        <v>4.244</v>
      </c>
      <c r="C65" s="305"/>
      <c r="D65" s="2">
        <f>B65+C65</f>
        <v>4.244</v>
      </c>
      <c r="E65" s="80">
        <v>1199.03</v>
      </c>
      <c r="F65" s="80">
        <v>12.89</v>
      </c>
      <c r="G65" s="117">
        <f>B65*F65/E65</f>
        <v>0.04562451314812807</v>
      </c>
      <c r="H65" s="20">
        <f>G65</f>
        <v>0.04562451314812807</v>
      </c>
      <c r="I65" s="85">
        <v>75.744</v>
      </c>
      <c r="J65" s="190">
        <f>I65+H65</f>
        <v>75.78962451314813</v>
      </c>
      <c r="K65" s="298">
        <v>3500.4</v>
      </c>
      <c r="L65" s="299"/>
      <c r="M65" s="1">
        <f>J65*E65</f>
        <v>90874.03348</v>
      </c>
      <c r="N65" s="4">
        <f>M65/K65</f>
        <v>25.96104258941835</v>
      </c>
      <c r="P65" s="65">
        <f>P82</f>
        <v>18.465905999999997</v>
      </c>
      <c r="Q65" s="4">
        <f>J65+P65</f>
        <v>94.25553051314813</v>
      </c>
      <c r="R65" s="236">
        <v>3500.4</v>
      </c>
      <c r="S65" s="233">
        <f>Q65*E65</f>
        <v>113015.20875118</v>
      </c>
      <c r="T65" s="1">
        <f>S65/R65</f>
        <v>32.28636977236316</v>
      </c>
      <c r="U65" s="177"/>
      <c r="V65" s="6"/>
    </row>
    <row r="66" spans="1:22" ht="12.75">
      <c r="A66" s="61" t="s">
        <v>148</v>
      </c>
      <c r="B66" s="304">
        <v>11.045</v>
      </c>
      <c r="C66" s="305"/>
      <c r="D66" s="2">
        <f>B66+C66</f>
        <v>11.045</v>
      </c>
      <c r="E66" s="80">
        <v>1199.03</v>
      </c>
      <c r="F66" s="80">
        <v>12.89</v>
      </c>
      <c r="G66" s="117">
        <f>B66*F66/E66</f>
        <v>0.11873768796443791</v>
      </c>
      <c r="H66" s="20">
        <f>G66</f>
        <v>0.11873768796443791</v>
      </c>
      <c r="I66" s="85">
        <v>72.848</v>
      </c>
      <c r="J66" s="190">
        <f>I66+H66</f>
        <v>72.96673768796444</v>
      </c>
      <c r="K66" s="298">
        <v>3447.5</v>
      </c>
      <c r="L66" s="299"/>
      <c r="M66" s="1">
        <f>J66*E66</f>
        <v>87489.30749</v>
      </c>
      <c r="N66" s="4">
        <f>M66/K66</f>
        <v>25.377609134155186</v>
      </c>
      <c r="P66" s="65">
        <f>P83</f>
        <v>16.828739</v>
      </c>
      <c r="Q66" s="4">
        <f>J66+P66</f>
        <v>89.79547668796444</v>
      </c>
      <c r="R66" s="236">
        <v>3447.5</v>
      </c>
      <c r="S66" s="233">
        <f>Q66*E66</f>
        <v>107667.47041317</v>
      </c>
      <c r="T66" s="1">
        <f>S66/R66</f>
        <v>31.230593303312546</v>
      </c>
      <c r="U66" s="177"/>
      <c r="V66" s="6"/>
    </row>
    <row r="67" spans="1:22" ht="12.75">
      <c r="A67" s="61" t="s">
        <v>192</v>
      </c>
      <c r="B67" s="304">
        <v>6.455</v>
      </c>
      <c r="C67" s="305"/>
      <c r="D67" s="2">
        <f>B67+C67</f>
        <v>6.455</v>
      </c>
      <c r="E67" s="80">
        <v>1199.03</v>
      </c>
      <c r="F67" s="80">
        <v>12.89</v>
      </c>
      <c r="G67" s="117">
        <f>B67*F67/E67</f>
        <v>0.06939355145409207</v>
      </c>
      <c r="H67" s="20">
        <f>G67</f>
        <v>0.06939355145409207</v>
      </c>
      <c r="I67" s="85">
        <v>42.187</v>
      </c>
      <c r="J67" s="190">
        <f>I67+H67</f>
        <v>42.25639355145409</v>
      </c>
      <c r="K67" s="298">
        <v>1478.3</v>
      </c>
      <c r="L67" s="299"/>
      <c r="M67" s="1">
        <f>J67*E67</f>
        <v>50666.68356</v>
      </c>
      <c r="N67" s="4">
        <f>M67/K67</f>
        <v>34.273613989041465</v>
      </c>
      <c r="P67" s="65">
        <f>P84</f>
        <v>10.26952</v>
      </c>
      <c r="Q67" s="4">
        <f>J67+P67</f>
        <v>52.52591355145409</v>
      </c>
      <c r="R67" s="236">
        <v>1478.3</v>
      </c>
      <c r="S67" s="233">
        <f>Q67*E67</f>
        <v>62980.1461256</v>
      </c>
      <c r="T67" s="1">
        <f>S67/R67</f>
        <v>42.603088767909085</v>
      </c>
      <c r="U67" s="177"/>
      <c r="V67" s="6"/>
    </row>
    <row r="68" spans="1:22" ht="12.75">
      <c r="A68" s="41" t="s">
        <v>89</v>
      </c>
      <c r="B68" s="292">
        <f>SUM(B65:C67)</f>
        <v>21.744</v>
      </c>
      <c r="C68" s="293"/>
      <c r="D68" s="179">
        <f>SUM(D65:D67)</f>
        <v>21.744</v>
      </c>
      <c r="E68" s="179"/>
      <c r="F68" s="179"/>
      <c r="G68" s="179">
        <f>SUM(G65:G67)</f>
        <v>0.23375575256665806</v>
      </c>
      <c r="H68" s="180">
        <f>SUM(H65:H67)</f>
        <v>0.23375575256665806</v>
      </c>
      <c r="I68" s="179">
        <f>SUM(I65:I67)</f>
        <v>190.779</v>
      </c>
      <c r="J68" s="179">
        <f>SUM(J65:J67)</f>
        <v>191.01275575256665</v>
      </c>
      <c r="K68" s="300">
        <f>SUM(K65:L67)</f>
        <v>8426.199999999999</v>
      </c>
      <c r="L68" s="301"/>
      <c r="M68" s="181">
        <f>SUM(M65:M67)</f>
        <v>229030.02453000002</v>
      </c>
      <c r="N68" s="182">
        <f>SUM(N65:N67)</f>
        <v>85.612265712615</v>
      </c>
      <c r="O68" s="238"/>
      <c r="P68" s="182">
        <f>SUM(P65:P67)</f>
        <v>45.564164999999996</v>
      </c>
      <c r="Q68" s="182">
        <f>SUM(Q65:Q67)</f>
        <v>236.57692075256665</v>
      </c>
      <c r="R68" s="182"/>
      <c r="S68" s="182"/>
      <c r="T68" s="182"/>
      <c r="U68" s="6"/>
      <c r="V68" s="6"/>
    </row>
    <row r="69" spans="2:22" s="42" customFormat="1" ht="11.25">
      <c r="B69" s="158">
        <f>SUM(B65:B67)</f>
        <v>21.744</v>
      </c>
      <c r="I69" s="176">
        <f>SUM(I65:I67)</f>
        <v>190.779</v>
      </c>
      <c r="N69" s="50"/>
      <c r="O69" s="50"/>
      <c r="S69" s="50"/>
      <c r="U69" s="237"/>
      <c r="V69" s="237"/>
    </row>
    <row r="70" spans="2:22" s="42" customFormat="1" ht="11.25">
      <c r="B70" s="42">
        <f>B69*12.89</f>
        <v>280.28016</v>
      </c>
      <c r="I70" s="42">
        <f>I69*E65</f>
        <v>228749.74437</v>
      </c>
      <c r="J70" s="42">
        <f>J68*E65</f>
        <v>229030.02453</v>
      </c>
      <c r="N70" s="48"/>
      <c r="O70" s="316"/>
      <c r="P70" s="316"/>
      <c r="S70" s="50"/>
      <c r="U70" s="237"/>
      <c r="V70" s="237"/>
    </row>
    <row r="71" spans="10:22" s="42" customFormat="1" ht="11.25">
      <c r="J71" s="42">
        <f>B70+I70</f>
        <v>229030.02453</v>
      </c>
      <c r="N71" s="48"/>
      <c r="O71" s="316"/>
      <c r="P71" s="316"/>
      <c r="S71" s="50"/>
      <c r="U71" s="237"/>
      <c r="V71" s="237"/>
    </row>
    <row r="72" ht="28.5" customHeight="1" hidden="1"/>
    <row r="73" spans="1:5" ht="12.75" hidden="1">
      <c r="A73" s="5" t="s">
        <v>137</v>
      </c>
      <c r="B73" s="9"/>
      <c r="C73" s="9"/>
      <c r="D73" s="5" t="s">
        <v>138</v>
      </c>
      <c r="E73" s="9"/>
    </row>
    <row r="74" ht="14.25" customHeight="1" hidden="1"/>
    <row r="75" ht="12.75" hidden="1">
      <c r="A75" t="s">
        <v>39</v>
      </c>
    </row>
    <row r="77" spans="1:19" ht="37.5" customHeight="1">
      <c r="A77" s="63" t="s">
        <v>136</v>
      </c>
      <c r="B77" s="63"/>
      <c r="C77" s="63"/>
      <c r="D77" s="63"/>
      <c r="E77" s="63"/>
      <c r="F77" s="64"/>
      <c r="G77" s="16"/>
      <c r="H77" s="279" t="s">
        <v>194</v>
      </c>
      <c r="I77" s="279"/>
      <c r="J77" s="15">
        <v>2014</v>
      </c>
      <c r="K77" s="16"/>
      <c r="S77" s="16"/>
    </row>
    <row r="78" spans="1:20" ht="18.75" customHeight="1">
      <c r="A78" s="63"/>
      <c r="B78" s="63"/>
      <c r="C78" s="63"/>
      <c r="D78" s="63"/>
      <c r="E78" s="63"/>
      <c r="F78" s="64"/>
      <c r="G78" s="16"/>
      <c r="H78" s="155"/>
      <c r="I78" s="155"/>
      <c r="J78" s="15"/>
      <c r="K78" s="16"/>
      <c r="L78" s="16"/>
      <c r="M78" s="16" t="s">
        <v>160</v>
      </c>
      <c r="N78" s="16"/>
      <c r="O78" s="16"/>
      <c r="P78" s="16"/>
      <c r="Q78" s="16"/>
      <c r="R78" s="320" t="s">
        <v>191</v>
      </c>
      <c r="S78" s="320"/>
      <c r="T78" s="320"/>
    </row>
    <row r="79" spans="1:20" ht="25.5" customHeight="1">
      <c r="A79" s="252" t="s">
        <v>116</v>
      </c>
      <c r="B79" s="270" t="s">
        <v>171</v>
      </c>
      <c r="C79" s="270" t="s">
        <v>178</v>
      </c>
      <c r="D79" s="272" t="s">
        <v>104</v>
      </c>
      <c r="E79" s="270" t="s">
        <v>100</v>
      </c>
      <c r="F79" s="272" t="s">
        <v>173</v>
      </c>
      <c r="G79" s="268" t="s">
        <v>179</v>
      </c>
      <c r="H79" s="268" t="s">
        <v>180</v>
      </c>
      <c r="I79" s="276" t="s">
        <v>132</v>
      </c>
      <c r="J79" s="278" t="s">
        <v>109</v>
      </c>
      <c r="K79" s="272" t="s">
        <v>124</v>
      </c>
      <c r="L79" s="272" t="s">
        <v>181</v>
      </c>
      <c r="M79" s="241" t="s">
        <v>176</v>
      </c>
      <c r="N79" s="270" t="s">
        <v>133</v>
      </c>
      <c r="O79" s="272" t="s">
        <v>142</v>
      </c>
      <c r="P79" s="274" t="s">
        <v>135</v>
      </c>
      <c r="Q79" s="278" t="s">
        <v>123</v>
      </c>
      <c r="R79" s="266" t="s">
        <v>115</v>
      </c>
      <c r="S79" s="243" t="s">
        <v>117</v>
      </c>
      <c r="T79" s="328" t="s">
        <v>157</v>
      </c>
    </row>
    <row r="80" spans="1:20" ht="70.5" customHeight="1">
      <c r="A80" s="253"/>
      <c r="B80" s="271"/>
      <c r="C80" s="271"/>
      <c r="D80" s="273"/>
      <c r="E80" s="271"/>
      <c r="F80" s="273"/>
      <c r="G80" s="242"/>
      <c r="H80" s="242"/>
      <c r="I80" s="277"/>
      <c r="J80" s="242"/>
      <c r="K80" s="273"/>
      <c r="L80" s="273"/>
      <c r="M80" s="269"/>
      <c r="N80" s="271"/>
      <c r="O80" s="273"/>
      <c r="P80" s="275"/>
      <c r="Q80" s="242"/>
      <c r="R80" s="267"/>
      <c r="S80" s="240"/>
      <c r="T80" s="329"/>
    </row>
    <row r="81" spans="1:20" s="72" customFormat="1" ht="10.5" customHeight="1">
      <c r="A81" s="68"/>
      <c r="B81" s="69">
        <v>1</v>
      </c>
      <c r="C81" s="69">
        <v>2</v>
      </c>
      <c r="D81" s="69">
        <v>3</v>
      </c>
      <c r="E81" s="69">
        <v>4</v>
      </c>
      <c r="F81" s="69">
        <v>5</v>
      </c>
      <c r="G81" s="69">
        <v>6</v>
      </c>
      <c r="H81" s="69">
        <v>7</v>
      </c>
      <c r="I81" s="69">
        <v>8</v>
      </c>
      <c r="J81" s="69">
        <v>9</v>
      </c>
      <c r="K81" s="69">
        <v>10</v>
      </c>
      <c r="L81" s="69">
        <v>11</v>
      </c>
      <c r="M81" s="69">
        <v>12</v>
      </c>
      <c r="N81" s="69">
        <v>13</v>
      </c>
      <c r="O81" s="69">
        <v>14</v>
      </c>
      <c r="P81" s="69">
        <v>15</v>
      </c>
      <c r="Q81" s="69">
        <v>16</v>
      </c>
      <c r="R81" s="69">
        <v>17</v>
      </c>
      <c r="S81" s="69">
        <v>18</v>
      </c>
      <c r="T81" s="229">
        <v>19</v>
      </c>
    </row>
    <row r="82" spans="1:20" ht="12.75">
      <c r="A82" s="61" t="s">
        <v>147</v>
      </c>
      <c r="B82" s="85">
        <v>248.54</v>
      </c>
      <c r="C82" s="59">
        <v>0</v>
      </c>
      <c r="D82" s="2">
        <f>B82+C82</f>
        <v>248.54</v>
      </c>
      <c r="E82" s="67">
        <v>0.0561</v>
      </c>
      <c r="F82" s="20">
        <f>D82*E82</f>
        <v>13.943093999999999</v>
      </c>
      <c r="G82" s="80">
        <f>B82*12.89/1199.03</f>
        <v>2.671893614004654</v>
      </c>
      <c r="H82" s="80"/>
      <c r="I82" s="65">
        <f>F82+G82+H82</f>
        <v>16.614987614004654</v>
      </c>
      <c r="J82" s="62">
        <v>1199.03</v>
      </c>
      <c r="K82" s="2">
        <f>I82*J82</f>
        <v>19921.86859882</v>
      </c>
      <c r="L82" s="53">
        <f>D82</f>
        <v>248.54</v>
      </c>
      <c r="M82" s="21">
        <f>K82/L82</f>
        <v>80.15558300000001</v>
      </c>
      <c r="N82" s="85">
        <v>32.409</v>
      </c>
      <c r="O82" s="20">
        <f>G82+H82+N82</f>
        <v>35.08089361400465</v>
      </c>
      <c r="P82" s="65">
        <f>O82-I82</f>
        <v>18.465905999999997</v>
      </c>
      <c r="Q82" s="58">
        <v>3500.4</v>
      </c>
      <c r="R82" s="1">
        <f>P82*J82</f>
        <v>22141.175271179996</v>
      </c>
      <c r="S82" s="4">
        <f>R82/Q82</f>
        <v>6.325327182944805</v>
      </c>
      <c r="T82" s="230">
        <f>O82*J82/D82</f>
        <v>169.24054023497223</v>
      </c>
    </row>
    <row r="83" spans="1:20" ht="12.75">
      <c r="A83" s="61" t="s">
        <v>148</v>
      </c>
      <c r="B83" s="85">
        <v>228.31</v>
      </c>
      <c r="C83" s="59">
        <v>0</v>
      </c>
      <c r="D83" s="2">
        <f>B83+C83</f>
        <v>228.31</v>
      </c>
      <c r="E83" s="67">
        <v>0.0531</v>
      </c>
      <c r="F83" s="20">
        <f>D83*E83</f>
        <v>12.123261000000001</v>
      </c>
      <c r="G83" s="80">
        <f>B83*12.89/1199.03</f>
        <v>2.4544139012368333</v>
      </c>
      <c r="H83" s="80"/>
      <c r="I83" s="65">
        <f>F83+G83+H83</f>
        <v>14.577674901236835</v>
      </c>
      <c r="J83" s="62">
        <v>1199.03</v>
      </c>
      <c r="K83" s="2">
        <f>I83*J83</f>
        <v>17479.06953683</v>
      </c>
      <c r="L83" s="53">
        <f>D83</f>
        <v>228.31</v>
      </c>
      <c r="M83" s="21">
        <f>K83/L83</f>
        <v>76.558493</v>
      </c>
      <c r="N83" s="85">
        <v>28.952</v>
      </c>
      <c r="O83" s="20">
        <f>G83+H83+N83</f>
        <v>31.406413901236835</v>
      </c>
      <c r="P83" s="65">
        <f>O83-I83</f>
        <v>16.828739</v>
      </c>
      <c r="Q83" s="58">
        <v>3447.5</v>
      </c>
      <c r="R83" s="1">
        <f>P83*J83</f>
        <v>20178.16292317</v>
      </c>
      <c r="S83" s="4">
        <f>R83/Q83</f>
        <v>5.85298416915736</v>
      </c>
      <c r="T83" s="230">
        <f>O83*J83/D83</f>
        <v>164.93904104069028</v>
      </c>
    </row>
    <row r="84" spans="1:20" ht="12.75">
      <c r="A84" s="61" t="s">
        <v>184</v>
      </c>
      <c r="B84" s="85">
        <v>112</v>
      </c>
      <c r="C84" s="59">
        <v>0</v>
      </c>
      <c r="D84" s="2">
        <f>B84+C84</f>
        <v>112</v>
      </c>
      <c r="E84" s="67">
        <v>0.05404</v>
      </c>
      <c r="F84" s="20">
        <f>D84*E84</f>
        <v>6.05248</v>
      </c>
      <c r="G84" s="80">
        <f>B84*12.89/1199.03</f>
        <v>1.204039932278592</v>
      </c>
      <c r="H84" s="80"/>
      <c r="I84" s="65">
        <f>F84+G84+H84</f>
        <v>7.256519932278592</v>
      </c>
      <c r="J84" s="62">
        <v>1199.03</v>
      </c>
      <c r="K84" s="2">
        <f>I84*J84</f>
        <v>8700.7850944</v>
      </c>
      <c r="L84" s="53">
        <f>D84</f>
        <v>112</v>
      </c>
      <c r="M84" s="21">
        <f>K84/L84</f>
        <v>77.6855812</v>
      </c>
      <c r="N84" s="85">
        <v>16.322</v>
      </c>
      <c r="O84" s="20">
        <f>G84+H84+N84</f>
        <v>17.526039932278593</v>
      </c>
      <c r="P84" s="65">
        <f>O84-I84</f>
        <v>10.26952</v>
      </c>
      <c r="Q84" s="58">
        <v>1478.3</v>
      </c>
      <c r="R84" s="1">
        <f>P84*J84</f>
        <v>12313.462565599999</v>
      </c>
      <c r="S84" s="4">
        <f>R84/Q84</f>
        <v>8.329474778867617</v>
      </c>
      <c r="T84" s="230">
        <f>O84*J84/D84</f>
        <v>187.62721125000002</v>
      </c>
    </row>
    <row r="85" spans="1:20" ht="12.75">
      <c r="A85" s="61" t="s">
        <v>89</v>
      </c>
      <c r="B85" s="111">
        <f aca="true" t="shared" si="14" ref="B85:S85">SUM(B82:B84)</f>
        <v>588.85</v>
      </c>
      <c r="C85" s="111">
        <f t="shared" si="14"/>
        <v>0</v>
      </c>
      <c r="D85" s="111">
        <f t="shared" si="14"/>
        <v>588.85</v>
      </c>
      <c r="E85" s="111">
        <f t="shared" si="14"/>
        <v>0.16324</v>
      </c>
      <c r="F85" s="111">
        <f t="shared" si="14"/>
        <v>32.118835000000004</v>
      </c>
      <c r="G85" s="111">
        <f t="shared" si="14"/>
        <v>6.330347447520079</v>
      </c>
      <c r="H85" s="111">
        <f t="shared" si="14"/>
        <v>0</v>
      </c>
      <c r="I85" s="111">
        <f t="shared" si="14"/>
        <v>38.44918244752008</v>
      </c>
      <c r="J85" s="111">
        <f t="shared" si="14"/>
        <v>3597.09</v>
      </c>
      <c r="K85" s="198">
        <f t="shared" si="14"/>
        <v>46101.72323005</v>
      </c>
      <c r="L85" s="111">
        <f t="shared" si="14"/>
        <v>588.85</v>
      </c>
      <c r="M85" s="111">
        <f t="shared" si="14"/>
        <v>234.3996572</v>
      </c>
      <c r="N85" s="111">
        <f t="shared" si="14"/>
        <v>77.683</v>
      </c>
      <c r="O85" s="111">
        <f t="shared" si="14"/>
        <v>84.01334744752008</v>
      </c>
      <c r="P85" s="111">
        <f t="shared" si="14"/>
        <v>45.564164999999996</v>
      </c>
      <c r="Q85" s="111">
        <f t="shared" si="14"/>
        <v>8426.199999999999</v>
      </c>
      <c r="R85" s="111">
        <f t="shared" si="14"/>
        <v>54632.80075995</v>
      </c>
      <c r="S85" s="111">
        <f t="shared" si="14"/>
        <v>20.507786130969784</v>
      </c>
      <c r="T85" s="231"/>
    </row>
    <row r="87" spans="2:19" s="42" customFormat="1" ht="11.25">
      <c r="B87" s="42">
        <f>B85*12.89</f>
        <v>7590.276500000001</v>
      </c>
      <c r="N87" s="42">
        <f>N85*1199.03</f>
        <v>93144.24749000001</v>
      </c>
      <c r="S87" s="50"/>
    </row>
    <row r="88" spans="15:19" s="42" customFormat="1" ht="11.25">
      <c r="O88" s="42">
        <f>B87+N87</f>
        <v>100734.52399000002</v>
      </c>
      <c r="S88" s="50"/>
    </row>
    <row r="89" s="42" customFormat="1" ht="11.25">
      <c r="S89" s="50"/>
    </row>
    <row r="91" ht="21" customHeight="1"/>
    <row r="92" spans="1:5" ht="12.75">
      <c r="A92" s="5" t="s">
        <v>137</v>
      </c>
      <c r="B92" s="9"/>
      <c r="C92" s="9"/>
      <c r="D92" s="5" t="s">
        <v>138</v>
      </c>
      <c r="E92" s="9"/>
    </row>
    <row r="93" ht="25.5" customHeight="1"/>
    <row r="94" ht="12.75">
      <c r="A94" t="s">
        <v>39</v>
      </c>
    </row>
    <row r="110" ht="15.75" customHeight="1"/>
    <row r="111" ht="12.75" hidden="1"/>
    <row r="112" ht="12.75" hidden="1"/>
    <row r="113" ht="12.75" hidden="1"/>
    <row r="114" spans="1:19" ht="37.5" customHeight="1" hidden="1">
      <c r="A114" s="63" t="s">
        <v>136</v>
      </c>
      <c r="B114" s="63"/>
      <c r="C114" s="63"/>
      <c r="D114" s="63"/>
      <c r="E114" s="63"/>
      <c r="F114" s="64"/>
      <c r="G114" s="16"/>
      <c r="H114" s="279" t="s">
        <v>158</v>
      </c>
      <c r="I114" s="279"/>
      <c r="J114" s="15">
        <v>2014</v>
      </c>
      <c r="K114" s="16"/>
      <c r="L114" s="16" t="s">
        <v>120</v>
      </c>
      <c r="M114" s="16"/>
      <c r="N114" s="16"/>
      <c r="O114" s="16"/>
      <c r="P114" s="16"/>
      <c r="Q114" s="16" t="s">
        <v>119</v>
      </c>
      <c r="R114" s="16"/>
      <c r="S114" s="16"/>
    </row>
    <row r="115" ht="12.75" hidden="1"/>
    <row r="116" ht="13.5" customHeight="1" hidden="1"/>
    <row r="117" spans="1:20" ht="25.5" customHeight="1" hidden="1">
      <c r="A117" s="252" t="s">
        <v>116</v>
      </c>
      <c r="B117" s="270" t="s">
        <v>177</v>
      </c>
      <c r="C117" s="270" t="s">
        <v>178</v>
      </c>
      <c r="D117" s="272" t="s">
        <v>172</v>
      </c>
      <c r="E117" s="270" t="s">
        <v>100</v>
      </c>
      <c r="F117" s="272" t="s">
        <v>173</v>
      </c>
      <c r="G117" s="268" t="s">
        <v>179</v>
      </c>
      <c r="H117" s="268" t="s">
        <v>180</v>
      </c>
      <c r="I117" s="276" t="s">
        <v>132</v>
      </c>
      <c r="J117" s="278" t="s">
        <v>109</v>
      </c>
      <c r="K117" s="272" t="s">
        <v>124</v>
      </c>
      <c r="L117" s="272" t="s">
        <v>181</v>
      </c>
      <c r="M117" s="241" t="s">
        <v>176</v>
      </c>
      <c r="N117" s="270" t="s">
        <v>133</v>
      </c>
      <c r="O117" s="272" t="s">
        <v>142</v>
      </c>
      <c r="P117" s="274" t="s">
        <v>135</v>
      </c>
      <c r="Q117" s="278" t="s">
        <v>123</v>
      </c>
      <c r="R117" s="266" t="s">
        <v>115</v>
      </c>
      <c r="S117" s="243" t="s">
        <v>117</v>
      </c>
      <c r="T117" s="290" t="s">
        <v>157</v>
      </c>
    </row>
    <row r="118" spans="1:20" ht="70.5" customHeight="1" hidden="1">
      <c r="A118" s="253"/>
      <c r="B118" s="271"/>
      <c r="C118" s="271"/>
      <c r="D118" s="273"/>
      <c r="E118" s="271"/>
      <c r="F118" s="273"/>
      <c r="G118" s="242"/>
      <c r="H118" s="242"/>
      <c r="I118" s="277"/>
      <c r="J118" s="242"/>
      <c r="K118" s="273"/>
      <c r="L118" s="273"/>
      <c r="M118" s="269"/>
      <c r="N118" s="271"/>
      <c r="O118" s="273"/>
      <c r="P118" s="275"/>
      <c r="Q118" s="242"/>
      <c r="R118" s="267"/>
      <c r="S118" s="240"/>
      <c r="T118" s="291"/>
    </row>
    <row r="119" spans="1:20" s="72" customFormat="1" ht="10.5" customHeight="1" hidden="1">
      <c r="A119" s="68"/>
      <c r="B119" s="69">
        <v>1</v>
      </c>
      <c r="C119" s="69">
        <v>2</v>
      </c>
      <c r="D119" s="69">
        <v>3</v>
      </c>
      <c r="E119" s="69">
        <v>4</v>
      </c>
      <c r="F119" s="69">
        <v>5</v>
      </c>
      <c r="G119" s="69">
        <v>6</v>
      </c>
      <c r="H119" s="69">
        <v>7</v>
      </c>
      <c r="I119" s="69">
        <v>8</v>
      </c>
      <c r="J119" s="69">
        <v>9</v>
      </c>
      <c r="K119" s="69">
        <v>10</v>
      </c>
      <c r="L119" s="69">
        <v>11</v>
      </c>
      <c r="M119" s="69">
        <v>12</v>
      </c>
      <c r="N119" s="69">
        <v>13</v>
      </c>
      <c r="O119" s="69">
        <v>14</v>
      </c>
      <c r="P119" s="69">
        <v>15</v>
      </c>
      <c r="Q119" s="69">
        <v>16</v>
      </c>
      <c r="R119" s="69">
        <v>17</v>
      </c>
      <c r="S119" s="69">
        <v>18</v>
      </c>
      <c r="T119" s="193">
        <v>19</v>
      </c>
    </row>
    <row r="120" spans="1:20" ht="12.75" hidden="1">
      <c r="A120" s="61" t="s">
        <v>147</v>
      </c>
      <c r="B120" s="85">
        <f>329.405+11.226</f>
        <v>340.631</v>
      </c>
      <c r="C120" s="59">
        <v>0</v>
      </c>
      <c r="D120" s="2">
        <f>B120+C120</f>
        <v>340.631</v>
      </c>
      <c r="E120" s="67">
        <v>0.0546</v>
      </c>
      <c r="F120" s="20">
        <f>D120*E120</f>
        <v>18.598452599999998</v>
      </c>
      <c r="G120" s="80">
        <f>B120*12.89/1199.03</f>
        <v>3.6619046979641876</v>
      </c>
      <c r="H120" s="80"/>
      <c r="I120" s="65">
        <f>K120/J120</f>
        <v>24.099253338114977</v>
      </c>
      <c r="J120" s="62">
        <v>1199.03</v>
      </c>
      <c r="K120" s="2">
        <f>L120*M120</f>
        <v>28895.72773</v>
      </c>
      <c r="L120" s="53">
        <f>D120</f>
        <v>340.631</v>
      </c>
      <c r="M120" s="21">
        <v>84.83</v>
      </c>
      <c r="N120" s="85">
        <f>34.823+40.556</f>
        <v>75.37899999999999</v>
      </c>
      <c r="O120" s="20">
        <f>G120+H120+N120</f>
        <v>79.04090469796418</v>
      </c>
      <c r="P120" s="65">
        <f>O120-I120</f>
        <v>54.9416513598492</v>
      </c>
      <c r="Q120" s="58">
        <v>3500.4</v>
      </c>
      <c r="R120" s="1">
        <f>P120*J120</f>
        <v>65876.68822999999</v>
      </c>
      <c r="S120" s="4">
        <f>R120/Q120</f>
        <v>18.81976009313221</v>
      </c>
      <c r="T120" s="194">
        <f>O120*J120/D120</f>
        <v>278.2260450751693</v>
      </c>
    </row>
    <row r="121" spans="1:20" ht="12.75" hidden="1">
      <c r="A121" s="61" t="s">
        <v>148</v>
      </c>
      <c r="B121" s="85">
        <f>286.322+92.231</f>
        <v>378.553</v>
      </c>
      <c r="C121" s="59">
        <v>0</v>
      </c>
      <c r="D121" s="2">
        <f>B121+C121</f>
        <v>378.553</v>
      </c>
      <c r="E121" s="67">
        <v>0.052</v>
      </c>
      <c r="F121" s="20">
        <f>D121*E121</f>
        <v>19.684756</v>
      </c>
      <c r="G121" s="80">
        <f>B121*12.89/1199.03</f>
        <v>4.0695797186058735</v>
      </c>
      <c r="H121" s="80"/>
      <c r="I121" s="65">
        <f>K121/J121</f>
        <v>26.78219142973904</v>
      </c>
      <c r="J121" s="62">
        <v>1199.03</v>
      </c>
      <c r="K121" s="2">
        <f>L121*M121</f>
        <v>32112.65099</v>
      </c>
      <c r="L121" s="53">
        <f>D121</f>
        <v>378.553</v>
      </c>
      <c r="M121" s="21">
        <v>84.83</v>
      </c>
      <c r="N121" s="85">
        <f>29.292+39.25</f>
        <v>68.542</v>
      </c>
      <c r="O121" s="20">
        <f>G121+H121+N121</f>
        <v>72.61157971860588</v>
      </c>
      <c r="P121" s="65">
        <f>O121-I121</f>
        <v>45.82938828886684</v>
      </c>
      <c r="Q121" s="58">
        <v>3447.5</v>
      </c>
      <c r="R121" s="1">
        <f>P121*J121</f>
        <v>54950.811440000005</v>
      </c>
      <c r="S121" s="4">
        <f>R121/Q121</f>
        <v>15.93932166497462</v>
      </c>
      <c r="T121" s="194">
        <f>O121*J121/D121</f>
        <v>229.99015310934007</v>
      </c>
    </row>
    <row r="122" spans="1:20" ht="12.75" hidden="1">
      <c r="A122" s="61" t="s">
        <v>159</v>
      </c>
      <c r="B122" s="85">
        <f>77+11.228</f>
        <v>88.228</v>
      </c>
      <c r="C122" s="59">
        <v>0</v>
      </c>
      <c r="D122" s="2">
        <f>B122+C122</f>
        <v>88.228</v>
      </c>
      <c r="E122" s="67">
        <v>0.055</v>
      </c>
      <c r="F122" s="20">
        <f>D122*E122</f>
        <v>4.852539999999999</v>
      </c>
      <c r="G122" s="80">
        <f>B122*12.89/1199.03</f>
        <v>0.9484824566524608</v>
      </c>
      <c r="H122" s="80"/>
      <c r="I122" s="65">
        <f>K122/J122</f>
        <v>6.242030007589468</v>
      </c>
      <c r="J122" s="62">
        <v>1199.03</v>
      </c>
      <c r="K122" s="2">
        <f>L122*M122</f>
        <v>7484.38124</v>
      </c>
      <c r="L122" s="53">
        <f>D122</f>
        <v>88.228</v>
      </c>
      <c r="M122" s="21">
        <v>84.83</v>
      </c>
      <c r="N122" s="85">
        <f>24.556+10.375</f>
        <v>34.931</v>
      </c>
      <c r="O122" s="20">
        <f>G122+H122+N122</f>
        <v>35.87948245665246</v>
      </c>
      <c r="P122" s="65">
        <f>O122-I122</f>
        <v>29.63745244906299</v>
      </c>
      <c r="Q122" s="58">
        <v>1478.3</v>
      </c>
      <c r="R122" s="1">
        <f>P122*J122</f>
        <v>35536.19461</v>
      </c>
      <c r="S122" s="4">
        <f>R122/Q122</f>
        <v>24.03855415680173</v>
      </c>
      <c r="T122" s="194">
        <f>O122*J122/D122</f>
        <v>487.60683513170426</v>
      </c>
    </row>
    <row r="123" spans="1:20" ht="12.75" hidden="1">
      <c r="A123" s="61" t="s">
        <v>89</v>
      </c>
      <c r="B123" s="111">
        <f aca="true" t="shared" si="15" ref="B123:T123">SUM(B120:B122)</f>
        <v>807.4119999999999</v>
      </c>
      <c r="C123" s="111">
        <f t="shared" si="15"/>
        <v>0</v>
      </c>
      <c r="D123" s="111">
        <f t="shared" si="15"/>
        <v>807.4119999999999</v>
      </c>
      <c r="E123" s="111">
        <f t="shared" si="15"/>
        <v>0.1616</v>
      </c>
      <c r="F123" s="111">
        <f t="shared" si="15"/>
        <v>43.13574859999999</v>
      </c>
      <c r="G123" s="111">
        <f t="shared" si="15"/>
        <v>8.679966873222522</v>
      </c>
      <c r="H123" s="111">
        <f t="shared" si="15"/>
        <v>0</v>
      </c>
      <c r="I123" s="111">
        <f t="shared" si="15"/>
        <v>57.12347477544349</v>
      </c>
      <c r="J123" s="111">
        <f t="shared" si="15"/>
        <v>3597.09</v>
      </c>
      <c r="K123" s="198">
        <f t="shared" si="15"/>
        <v>68492.75996</v>
      </c>
      <c r="L123" s="111">
        <f t="shared" si="15"/>
        <v>807.4119999999999</v>
      </c>
      <c r="M123" s="111">
        <f t="shared" si="15"/>
        <v>254.49</v>
      </c>
      <c r="N123" s="111">
        <f t="shared" si="15"/>
        <v>178.85199999999998</v>
      </c>
      <c r="O123" s="111">
        <f t="shared" si="15"/>
        <v>187.53196687322253</v>
      </c>
      <c r="P123" s="111">
        <f t="shared" si="15"/>
        <v>130.40849209777903</v>
      </c>
      <c r="Q123" s="111">
        <f t="shared" si="15"/>
        <v>8426.199999999999</v>
      </c>
      <c r="R123" s="111">
        <f t="shared" si="15"/>
        <v>156363.69428</v>
      </c>
      <c r="S123" s="111">
        <f t="shared" si="15"/>
        <v>58.79763591490856</v>
      </c>
      <c r="T123" s="199">
        <f t="shared" si="15"/>
        <v>995.8230333162137</v>
      </c>
    </row>
    <row r="124" ht="5.25" customHeight="1" hidden="1"/>
    <row r="125" spans="2:19" s="200" customFormat="1" ht="8.25" customHeight="1" hidden="1">
      <c r="B125" s="200">
        <f>B123*12.89</f>
        <v>10407.54068</v>
      </c>
      <c r="N125" s="200">
        <f>N123*1199.03</f>
        <v>214448.91355999996</v>
      </c>
      <c r="S125" s="201"/>
    </row>
    <row r="126" spans="15:19" s="200" customFormat="1" ht="8.25" customHeight="1" hidden="1">
      <c r="O126" s="200">
        <f>B125+N125</f>
        <v>224856.45423999996</v>
      </c>
      <c r="S126" s="201"/>
    </row>
    <row r="127" ht="27.75" customHeight="1" hidden="1"/>
    <row r="128" spans="1:20" ht="25.5" customHeight="1" hidden="1">
      <c r="A128" s="252" t="s">
        <v>116</v>
      </c>
      <c r="B128" s="270" t="s">
        <v>126</v>
      </c>
      <c r="C128" s="270" t="s">
        <v>127</v>
      </c>
      <c r="D128" s="272" t="s">
        <v>104</v>
      </c>
      <c r="E128" s="270" t="s">
        <v>100</v>
      </c>
      <c r="F128" s="272" t="s">
        <v>128</v>
      </c>
      <c r="G128" s="268" t="s">
        <v>179</v>
      </c>
      <c r="H128" s="268" t="s">
        <v>180</v>
      </c>
      <c r="I128" s="276" t="s">
        <v>132</v>
      </c>
      <c r="J128" s="278" t="s">
        <v>109</v>
      </c>
      <c r="K128" s="272" t="s">
        <v>124</v>
      </c>
      <c r="L128" s="272" t="s">
        <v>181</v>
      </c>
      <c r="M128" s="241" t="s">
        <v>157</v>
      </c>
      <c r="N128" s="270" t="s">
        <v>133</v>
      </c>
      <c r="O128" s="272" t="s">
        <v>142</v>
      </c>
      <c r="P128" s="274" t="s">
        <v>135</v>
      </c>
      <c r="Q128" s="278" t="s">
        <v>123</v>
      </c>
      <c r="R128" s="266" t="s">
        <v>115</v>
      </c>
      <c r="S128" s="243" t="s">
        <v>117</v>
      </c>
      <c r="T128" s="290" t="s">
        <v>157</v>
      </c>
    </row>
    <row r="129" spans="1:20" ht="70.5" customHeight="1" hidden="1">
      <c r="A129" s="253"/>
      <c r="B129" s="271"/>
      <c r="C129" s="271"/>
      <c r="D129" s="273"/>
      <c r="E129" s="271"/>
      <c r="F129" s="273"/>
      <c r="G129" s="242"/>
      <c r="H129" s="242"/>
      <c r="I129" s="277"/>
      <c r="J129" s="242"/>
      <c r="K129" s="273"/>
      <c r="L129" s="273"/>
      <c r="M129" s="269"/>
      <c r="N129" s="271"/>
      <c r="O129" s="273"/>
      <c r="P129" s="275"/>
      <c r="Q129" s="242"/>
      <c r="R129" s="267"/>
      <c r="S129" s="240"/>
      <c r="T129" s="291"/>
    </row>
    <row r="130" spans="1:20" s="72" customFormat="1" ht="10.5" customHeight="1" hidden="1">
      <c r="A130" s="68"/>
      <c r="B130" s="69">
        <v>1</v>
      </c>
      <c r="C130" s="69">
        <v>2</v>
      </c>
      <c r="D130" s="69">
        <v>3</v>
      </c>
      <c r="E130" s="69">
        <v>4</v>
      </c>
      <c r="F130" s="69">
        <v>5</v>
      </c>
      <c r="G130" s="69">
        <v>6</v>
      </c>
      <c r="H130" s="69">
        <v>7</v>
      </c>
      <c r="I130" s="69">
        <v>8</v>
      </c>
      <c r="J130" s="69">
        <v>9</v>
      </c>
      <c r="K130" s="69">
        <v>10</v>
      </c>
      <c r="L130" s="69">
        <v>11</v>
      </c>
      <c r="M130" s="69">
        <v>12</v>
      </c>
      <c r="N130" s="69">
        <v>13</v>
      </c>
      <c r="O130" s="69">
        <v>14</v>
      </c>
      <c r="P130" s="69">
        <v>15</v>
      </c>
      <c r="Q130" s="69">
        <v>16</v>
      </c>
      <c r="R130" s="69">
        <v>17</v>
      </c>
      <c r="S130" s="69">
        <v>18</v>
      </c>
      <c r="T130" s="193">
        <v>19</v>
      </c>
    </row>
    <row r="131" spans="1:20" ht="12.75" hidden="1">
      <c r="A131" s="61" t="s">
        <v>147</v>
      </c>
      <c r="B131" s="85">
        <f>329.405+11.226</f>
        <v>340.631</v>
      </c>
      <c r="C131" s="59">
        <v>0</v>
      </c>
      <c r="D131" s="2">
        <f>B131+C131</f>
        <v>340.631</v>
      </c>
      <c r="E131" s="67">
        <v>0.0546</v>
      </c>
      <c r="F131" s="20">
        <f>D131*E131</f>
        <v>18.598452599999998</v>
      </c>
      <c r="G131" s="80">
        <f>B131*12.89/1199.03</f>
        <v>3.6619046979641876</v>
      </c>
      <c r="H131" s="80"/>
      <c r="I131" s="65">
        <f>K131/J131</f>
        <v>26.77536988232154</v>
      </c>
      <c r="J131" s="62">
        <v>1199.03</v>
      </c>
      <c r="K131" s="2">
        <f>L131*M131</f>
        <v>32104.471749999997</v>
      </c>
      <c r="L131" s="53">
        <f>D131</f>
        <v>340.631</v>
      </c>
      <c r="M131" s="21">
        <v>94.25</v>
      </c>
      <c r="N131" s="85">
        <f>34.823+40.556</f>
        <v>75.37899999999999</v>
      </c>
      <c r="O131" s="20">
        <f>G131+H131+N131</f>
        <v>79.04090469796418</v>
      </c>
      <c r="P131" s="65">
        <f>O131-I131</f>
        <v>52.26553481564264</v>
      </c>
      <c r="Q131" s="58">
        <v>3500.4</v>
      </c>
      <c r="R131" s="1">
        <f>P131*J131</f>
        <v>62667.944209999994</v>
      </c>
      <c r="S131" s="4">
        <f>R131/Q131</f>
        <v>17.90308085075991</v>
      </c>
      <c r="T131" s="194">
        <f>O131*J131/D131</f>
        <v>278.2260450751693</v>
      </c>
    </row>
    <row r="132" spans="1:20" ht="12.75" hidden="1">
      <c r="A132" s="61" t="s">
        <v>148</v>
      </c>
      <c r="B132" s="85">
        <f>286.322+92.231</f>
        <v>378.553</v>
      </c>
      <c r="C132" s="59">
        <v>0</v>
      </c>
      <c r="D132" s="2">
        <f>B132+C132</f>
        <v>378.553</v>
      </c>
      <c r="E132" s="67">
        <v>0.052</v>
      </c>
      <c r="F132" s="20">
        <f>D132*E132</f>
        <v>19.684756</v>
      </c>
      <c r="G132" s="80">
        <f>B132*12.89/1199.03</f>
        <v>4.0695797186058735</v>
      </c>
      <c r="H132" s="80"/>
      <c r="I132" s="65">
        <f>K132/J132</f>
        <v>29.756236499503768</v>
      </c>
      <c r="J132" s="62">
        <v>1199.03</v>
      </c>
      <c r="K132" s="2">
        <f>L132*M132</f>
        <v>35678.62025</v>
      </c>
      <c r="L132" s="53">
        <f>D132</f>
        <v>378.553</v>
      </c>
      <c r="M132" s="21">
        <v>94.25</v>
      </c>
      <c r="N132" s="85">
        <f>29.292+39.25</f>
        <v>68.542</v>
      </c>
      <c r="O132" s="20">
        <f>G132+H132+N132</f>
        <v>72.61157971860588</v>
      </c>
      <c r="P132" s="65">
        <f>O132-I132</f>
        <v>42.85534321910211</v>
      </c>
      <c r="Q132" s="58">
        <v>3447.5</v>
      </c>
      <c r="R132" s="1">
        <f>P132*J132</f>
        <v>51384.84218</v>
      </c>
      <c r="S132" s="4">
        <f>R132/Q132</f>
        <v>14.904957847715735</v>
      </c>
      <c r="T132" s="194">
        <f>O132*J132/D132</f>
        <v>229.99015310934007</v>
      </c>
    </row>
    <row r="133" spans="1:20" ht="12.75" hidden="1">
      <c r="A133" s="61" t="s">
        <v>159</v>
      </c>
      <c r="B133" s="85">
        <f>77+11.228</f>
        <v>88.228</v>
      </c>
      <c r="C133" s="59">
        <v>0</v>
      </c>
      <c r="D133" s="2">
        <f>B133+C133</f>
        <v>88.228</v>
      </c>
      <c r="E133" s="67">
        <v>0.055</v>
      </c>
      <c r="F133" s="20">
        <f>D133*E133</f>
        <v>4.852539999999999</v>
      </c>
      <c r="G133" s="80">
        <f>B133*12.89/1199.03</f>
        <v>0.9484824566524608</v>
      </c>
      <c r="H133" s="80"/>
      <c r="I133" s="65">
        <f>K133/J133</f>
        <v>6.935180103917333</v>
      </c>
      <c r="J133" s="62">
        <v>1199.03</v>
      </c>
      <c r="K133" s="2">
        <f>L133*M133</f>
        <v>8315.489</v>
      </c>
      <c r="L133" s="53">
        <f>D133</f>
        <v>88.228</v>
      </c>
      <c r="M133" s="21">
        <v>94.25</v>
      </c>
      <c r="N133" s="85">
        <f>24.556+10.375</f>
        <v>34.931</v>
      </c>
      <c r="O133" s="20">
        <f>G133+H133+N133</f>
        <v>35.87948245665246</v>
      </c>
      <c r="P133" s="65">
        <f>O133-I133</f>
        <v>28.94430235273513</v>
      </c>
      <c r="Q133" s="58">
        <v>1478.3</v>
      </c>
      <c r="R133" s="1">
        <f>P133*J133</f>
        <v>34705.08685</v>
      </c>
      <c r="S133" s="4">
        <f>R133/Q133</f>
        <v>23.476349083406618</v>
      </c>
      <c r="T133" s="194">
        <f>O133*J133/D133</f>
        <v>487.60683513170426</v>
      </c>
    </row>
    <row r="134" spans="1:20" ht="12.75" hidden="1">
      <c r="A134" s="61" t="s">
        <v>89</v>
      </c>
      <c r="B134" s="111">
        <f aca="true" t="shared" si="16" ref="B134:T134">SUM(B131:B133)</f>
        <v>807.4119999999999</v>
      </c>
      <c r="C134" s="111">
        <f t="shared" si="16"/>
        <v>0</v>
      </c>
      <c r="D134" s="111">
        <f t="shared" si="16"/>
        <v>807.4119999999999</v>
      </c>
      <c r="E134" s="111">
        <f t="shared" si="16"/>
        <v>0.1616</v>
      </c>
      <c r="F134" s="111">
        <f t="shared" si="16"/>
        <v>43.13574859999999</v>
      </c>
      <c r="G134" s="111">
        <f t="shared" si="16"/>
        <v>8.679966873222522</v>
      </c>
      <c r="H134" s="111">
        <f t="shared" si="16"/>
        <v>0</v>
      </c>
      <c r="I134" s="111">
        <f t="shared" si="16"/>
        <v>63.466786485742645</v>
      </c>
      <c r="J134" s="111">
        <f t="shared" si="16"/>
        <v>3597.09</v>
      </c>
      <c r="K134" s="198">
        <f t="shared" si="16"/>
        <v>76098.581</v>
      </c>
      <c r="L134" s="111">
        <f t="shared" si="16"/>
        <v>807.4119999999999</v>
      </c>
      <c r="M134" s="111">
        <f t="shared" si="16"/>
        <v>282.75</v>
      </c>
      <c r="N134" s="111">
        <f t="shared" si="16"/>
        <v>178.85199999999998</v>
      </c>
      <c r="O134" s="111">
        <f t="shared" si="16"/>
        <v>187.53196687322253</v>
      </c>
      <c r="P134" s="111">
        <f t="shared" si="16"/>
        <v>124.06518038747987</v>
      </c>
      <c r="Q134" s="111">
        <f t="shared" si="16"/>
        <v>8426.199999999999</v>
      </c>
      <c r="R134" s="111">
        <f t="shared" si="16"/>
        <v>148757.87324</v>
      </c>
      <c r="S134" s="111">
        <f t="shared" si="16"/>
        <v>56.28438778188226</v>
      </c>
      <c r="T134" s="199">
        <f t="shared" si="16"/>
        <v>995.8230333162137</v>
      </c>
    </row>
    <row r="135" ht="12.75" hidden="1"/>
    <row r="136" spans="2:14" ht="12.75" hidden="1">
      <c r="B136">
        <f>B134*12.89</f>
        <v>10407.54068</v>
      </c>
      <c r="N136">
        <f>N134*1199.03</f>
        <v>214448.91355999996</v>
      </c>
    </row>
    <row r="137" ht="12.75" hidden="1">
      <c r="O137">
        <f>B136+N136</f>
        <v>224856.45423999996</v>
      </c>
    </row>
    <row r="138" ht="12.75" hidden="1"/>
    <row r="139" ht="12.75" hidden="1"/>
    <row r="140" ht="12.75" hidden="1"/>
    <row r="141" spans="1:5" ht="12.75" hidden="1">
      <c r="A141" s="5" t="s">
        <v>137</v>
      </c>
      <c r="B141" s="9"/>
      <c r="C141" s="9"/>
      <c r="D141" s="5" t="s">
        <v>138</v>
      </c>
      <c r="E141" s="9"/>
    </row>
    <row r="142" ht="25.5" customHeight="1" hidden="1"/>
    <row r="143" ht="12.75" hidden="1">
      <c r="A143" t="s">
        <v>39</v>
      </c>
    </row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mergeCells count="147">
    <mergeCell ref="P61:T61"/>
    <mergeCell ref="M61:N61"/>
    <mergeCell ref="R78:T78"/>
    <mergeCell ref="U62:U63"/>
    <mergeCell ref="S62:S63"/>
    <mergeCell ref="R62:R63"/>
    <mergeCell ref="P62:P63"/>
    <mergeCell ref="T62:T63"/>
    <mergeCell ref="Q62:Q63"/>
    <mergeCell ref="O70:P70"/>
    <mergeCell ref="H77:I77"/>
    <mergeCell ref="H114:I114"/>
    <mergeCell ref="T79:T80"/>
    <mergeCell ref="P79:P80"/>
    <mergeCell ref="Q79:Q80"/>
    <mergeCell ref="R79:R80"/>
    <mergeCell ref="S79:S80"/>
    <mergeCell ref="L79:L80"/>
    <mergeCell ref="M79:M80"/>
    <mergeCell ref="N79:N80"/>
    <mergeCell ref="O79:O80"/>
    <mergeCell ref="H79:H80"/>
    <mergeCell ref="I79:I80"/>
    <mergeCell ref="J79:J80"/>
    <mergeCell ref="K79:K80"/>
    <mergeCell ref="H45:I45"/>
    <mergeCell ref="F49:F50"/>
    <mergeCell ref="A79:A80"/>
    <mergeCell ref="B79:B80"/>
    <mergeCell ref="C79:C80"/>
    <mergeCell ref="D79:D80"/>
    <mergeCell ref="E79:E80"/>
    <mergeCell ref="F79:F80"/>
    <mergeCell ref="G79:G80"/>
    <mergeCell ref="B49:C50"/>
    <mergeCell ref="O71:P71"/>
    <mergeCell ref="O30:P30"/>
    <mergeCell ref="A46:S46"/>
    <mergeCell ref="H60:I60"/>
    <mergeCell ref="B52:C52"/>
    <mergeCell ref="B53:C53"/>
    <mergeCell ref="B54:C54"/>
    <mergeCell ref="A49:A50"/>
    <mergeCell ref="C30:D30"/>
    <mergeCell ref="O31:P31"/>
    <mergeCell ref="A3:A4"/>
    <mergeCell ref="B3:B4"/>
    <mergeCell ref="C3:C4"/>
    <mergeCell ref="D3:D4"/>
    <mergeCell ref="H1:I1"/>
    <mergeCell ref="I3:I4"/>
    <mergeCell ref="J3:J4"/>
    <mergeCell ref="K3:K4"/>
    <mergeCell ref="R3:R4"/>
    <mergeCell ref="H3:H4"/>
    <mergeCell ref="S3:S4"/>
    <mergeCell ref="P3:P4"/>
    <mergeCell ref="Q3:Q4"/>
    <mergeCell ref="O3:O4"/>
    <mergeCell ref="M3:M4"/>
    <mergeCell ref="N3:N4"/>
    <mergeCell ref="L3:L4"/>
    <mergeCell ref="E3:E4"/>
    <mergeCell ref="F3:F4"/>
    <mergeCell ref="G3:G4"/>
    <mergeCell ref="C29:D29"/>
    <mergeCell ref="K49:K50"/>
    <mergeCell ref="L49:L50"/>
    <mergeCell ref="M49:M50"/>
    <mergeCell ref="D49:D50"/>
    <mergeCell ref="E49:E50"/>
    <mergeCell ref="K68:L68"/>
    <mergeCell ref="S49:S50"/>
    <mergeCell ref="A62:A63"/>
    <mergeCell ref="D62:D63"/>
    <mergeCell ref="F62:F63"/>
    <mergeCell ref="G62:G63"/>
    <mergeCell ref="N49:N50"/>
    <mergeCell ref="P49:P50"/>
    <mergeCell ref="Q49:Q50"/>
    <mergeCell ref="R49:R50"/>
    <mergeCell ref="K66:L66"/>
    <mergeCell ref="K67:L67"/>
    <mergeCell ref="H62:H63"/>
    <mergeCell ref="E62:E63"/>
    <mergeCell ref="B51:C51"/>
    <mergeCell ref="M62:M63"/>
    <mergeCell ref="N62:N63"/>
    <mergeCell ref="G49:G50"/>
    <mergeCell ref="H49:H50"/>
    <mergeCell ref="I49:J50"/>
    <mergeCell ref="I52:J52"/>
    <mergeCell ref="I53:J53"/>
    <mergeCell ref="I54:J54"/>
    <mergeCell ref="I51:J51"/>
    <mergeCell ref="B66:C66"/>
    <mergeCell ref="B67:C67"/>
    <mergeCell ref="I62:I63"/>
    <mergeCell ref="B68:C68"/>
    <mergeCell ref="B62:C63"/>
    <mergeCell ref="B65:C65"/>
    <mergeCell ref="B64:C64"/>
    <mergeCell ref="B55:C55"/>
    <mergeCell ref="K62:L63"/>
    <mergeCell ref="K65:L65"/>
    <mergeCell ref="I55:J55"/>
    <mergeCell ref="J62:J63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</mergeCells>
  <printOptions/>
  <pageMargins left="0.1968503937007874" right="0.1968503937007874" top="0" bottom="0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T30" sqref="T30:T31"/>
    </sheetView>
  </sheetViews>
  <sheetFormatPr defaultColWidth="9.00390625" defaultRowHeight="12.75"/>
  <cols>
    <col min="1" max="1" width="15.25390625" style="0" customWidth="1"/>
    <col min="2" max="2" width="7.625" style="0" customWidth="1"/>
    <col min="3" max="3" width="4.625" style="0" customWidth="1"/>
    <col min="4" max="4" width="8.75390625" style="0" customWidth="1"/>
    <col min="5" max="5" width="6.75390625" style="0" customWidth="1"/>
    <col min="6" max="6" width="6.375" style="0" customWidth="1"/>
    <col min="7" max="7" width="8.00390625" style="0" customWidth="1"/>
    <col min="8" max="8" width="6.375" style="0" customWidth="1"/>
    <col min="9" max="9" width="6.00390625" style="0" customWidth="1"/>
    <col min="10" max="10" width="6.875" style="0" customWidth="1"/>
    <col min="11" max="11" width="7.125" style="0" customWidth="1"/>
    <col min="12" max="12" width="7.875" style="0" customWidth="1"/>
    <col min="13" max="13" width="8.00390625" style="0" customWidth="1"/>
    <col min="14" max="14" width="6.25390625" style="0" customWidth="1"/>
    <col min="15" max="15" width="7.625" style="0" customWidth="1"/>
    <col min="16" max="16" width="6.00390625" style="0" customWidth="1"/>
    <col min="17" max="17" width="6.125" style="0" customWidth="1"/>
    <col min="18" max="18" width="7.00390625" style="0" customWidth="1"/>
    <col min="19" max="19" width="7.125" style="0" customWidth="1"/>
    <col min="21" max="21" width="6.875" style="3" customWidth="1"/>
    <col min="22" max="22" width="6.625" style="0" customWidth="1"/>
  </cols>
  <sheetData>
    <row r="1" spans="1:21" ht="36.75" customHeight="1">
      <c r="A1" s="63" t="s">
        <v>136</v>
      </c>
      <c r="B1" s="63"/>
      <c r="C1" s="63"/>
      <c r="D1" s="63"/>
      <c r="E1" s="63"/>
      <c r="F1" s="64"/>
      <c r="G1" s="64"/>
      <c r="H1" s="16"/>
      <c r="I1" s="279" t="s">
        <v>144</v>
      </c>
      <c r="J1" s="279"/>
      <c r="K1" s="15">
        <v>2014</v>
      </c>
      <c r="L1" s="16"/>
      <c r="M1" s="16" t="s">
        <v>120</v>
      </c>
      <c r="N1" s="16"/>
      <c r="O1" s="16"/>
      <c r="P1" s="16"/>
      <c r="Q1" s="16"/>
      <c r="R1" s="16"/>
      <c r="S1" s="16" t="s">
        <v>119</v>
      </c>
      <c r="T1" s="16"/>
      <c r="U1" s="16"/>
    </row>
    <row r="2" spans="1:15" ht="27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"/>
    </row>
    <row r="3" spans="1:22" ht="25.5" customHeight="1">
      <c r="A3" s="252" t="s">
        <v>116</v>
      </c>
      <c r="B3" s="270" t="s">
        <v>126</v>
      </c>
      <c r="C3" s="270" t="s">
        <v>127</v>
      </c>
      <c r="D3" s="272" t="s">
        <v>104</v>
      </c>
      <c r="E3" s="270" t="s">
        <v>100</v>
      </c>
      <c r="F3" s="272" t="s">
        <v>128</v>
      </c>
      <c r="G3" s="272" t="s">
        <v>145</v>
      </c>
      <c r="H3" s="268" t="s">
        <v>140</v>
      </c>
      <c r="I3" s="268" t="s">
        <v>131</v>
      </c>
      <c r="J3" s="276" t="s">
        <v>132</v>
      </c>
      <c r="K3" s="278" t="s">
        <v>109</v>
      </c>
      <c r="L3" s="272" t="s">
        <v>124</v>
      </c>
      <c r="M3" s="272" t="s">
        <v>129</v>
      </c>
      <c r="N3" s="350" t="s">
        <v>125</v>
      </c>
      <c r="O3" s="270" t="s">
        <v>133</v>
      </c>
      <c r="P3" s="272" t="s">
        <v>142</v>
      </c>
      <c r="Q3" s="274" t="s">
        <v>135</v>
      </c>
      <c r="R3" s="274" t="s">
        <v>146</v>
      </c>
      <c r="S3" s="278" t="s">
        <v>123</v>
      </c>
      <c r="T3" s="266" t="s">
        <v>115</v>
      </c>
      <c r="U3" s="243" t="s">
        <v>117</v>
      </c>
      <c r="V3" s="285" t="s">
        <v>155</v>
      </c>
    </row>
    <row r="4" spans="1:22" ht="63" customHeight="1">
      <c r="A4" s="253"/>
      <c r="B4" s="271"/>
      <c r="C4" s="271"/>
      <c r="D4" s="273"/>
      <c r="E4" s="271"/>
      <c r="F4" s="273"/>
      <c r="G4" s="330"/>
      <c r="H4" s="242"/>
      <c r="I4" s="242"/>
      <c r="J4" s="277"/>
      <c r="K4" s="242"/>
      <c r="L4" s="273"/>
      <c r="M4" s="273"/>
      <c r="N4" s="351"/>
      <c r="O4" s="271"/>
      <c r="P4" s="273"/>
      <c r="Q4" s="275"/>
      <c r="R4" s="349"/>
      <c r="S4" s="242"/>
      <c r="T4" s="267"/>
      <c r="U4" s="240"/>
      <c r="V4" s="286"/>
    </row>
    <row r="5" spans="1:22" s="72" customFormat="1" ht="10.5" customHeight="1">
      <c r="A5" s="68"/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69"/>
      <c r="H5" s="69">
        <v>6</v>
      </c>
      <c r="I5" s="69">
        <v>7</v>
      </c>
      <c r="J5" s="69">
        <v>8</v>
      </c>
      <c r="K5" s="69">
        <v>9</v>
      </c>
      <c r="L5" s="69">
        <v>10</v>
      </c>
      <c r="M5" s="69">
        <v>11</v>
      </c>
      <c r="N5" s="108">
        <v>12</v>
      </c>
      <c r="O5" s="69">
        <v>13</v>
      </c>
      <c r="P5" s="69">
        <v>14</v>
      </c>
      <c r="Q5" s="69">
        <v>15</v>
      </c>
      <c r="R5" s="69"/>
      <c r="S5" s="69">
        <v>16</v>
      </c>
      <c r="T5" s="69">
        <v>17</v>
      </c>
      <c r="U5" s="69">
        <v>18</v>
      </c>
      <c r="V5" s="105">
        <v>19</v>
      </c>
    </row>
    <row r="6" spans="1:22" s="136" customFormat="1" ht="14.25" customHeight="1">
      <c r="A6" s="134" t="s">
        <v>152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5"/>
      <c r="O6" s="134"/>
      <c r="P6" s="134"/>
      <c r="Q6" s="134"/>
      <c r="R6" s="134"/>
      <c r="S6" s="134"/>
      <c r="T6" s="134"/>
      <c r="U6" s="134"/>
      <c r="V6" s="134"/>
    </row>
    <row r="7" spans="1:22" ht="12.75">
      <c r="A7" s="61" t="s">
        <v>3</v>
      </c>
      <c r="B7" s="104">
        <v>679.262</v>
      </c>
      <c r="C7" s="59">
        <v>0</v>
      </c>
      <c r="D7" s="2">
        <f aca="true" t="shared" si="0" ref="D7:D17">B7+C7</f>
        <v>679.262</v>
      </c>
      <c r="E7" s="102"/>
      <c r="F7" s="20"/>
      <c r="G7" s="53"/>
      <c r="H7" s="80">
        <f aca="true" t="shared" si="1" ref="H7:H17">B7*14.49/1050.67</f>
        <v>9.367838027163618</v>
      </c>
      <c r="I7" s="80">
        <f aca="true" t="shared" si="2" ref="I7:I17">C7*13.98/1050.67</f>
        <v>0</v>
      </c>
      <c r="J7" s="65">
        <f aca="true" t="shared" si="3" ref="J7:J17">G7+H7</f>
        <v>9.367838027163618</v>
      </c>
      <c r="K7" s="145">
        <v>1050.67</v>
      </c>
      <c r="L7" s="2">
        <f aca="true" t="shared" si="4" ref="L7:L17">J7*K7</f>
        <v>9842.506379999999</v>
      </c>
      <c r="M7" s="53">
        <f aca="true" t="shared" si="5" ref="M7:M17">D7</f>
        <v>679.262</v>
      </c>
      <c r="N7" s="109">
        <f aca="true" t="shared" si="6" ref="N7:N17">L7/M7</f>
        <v>14.49</v>
      </c>
      <c r="O7" s="85">
        <v>66.915</v>
      </c>
      <c r="P7" s="20">
        <f aca="true" t="shared" si="7" ref="P7:P17">H7+I7+O7</f>
        <v>76.28283802716362</v>
      </c>
      <c r="Q7" s="65"/>
      <c r="R7" s="110"/>
      <c r="S7" s="58">
        <v>6343.9</v>
      </c>
      <c r="T7" s="1">
        <f>R7*K7</f>
        <v>0</v>
      </c>
      <c r="U7" s="4">
        <f aca="true" t="shared" si="8" ref="U7:U17">T7/S7</f>
        <v>0</v>
      </c>
      <c r="V7" s="106">
        <f aca="true" t="shared" si="9" ref="V7:V17">P7*K7/D7</f>
        <v>117.99289439126584</v>
      </c>
    </row>
    <row r="8" spans="1:22" ht="12.75">
      <c r="A8" s="61" t="s">
        <v>4</v>
      </c>
      <c r="B8" s="104">
        <v>546.271</v>
      </c>
      <c r="C8" s="59">
        <v>0</v>
      </c>
      <c r="D8" s="2">
        <f t="shared" si="0"/>
        <v>546.271</v>
      </c>
      <c r="E8" s="103"/>
      <c r="F8" s="20"/>
      <c r="G8" s="53"/>
      <c r="H8" s="80">
        <f t="shared" si="1"/>
        <v>7.53373256112766</v>
      </c>
      <c r="I8" s="80">
        <f t="shared" si="2"/>
        <v>0</v>
      </c>
      <c r="J8" s="65">
        <f t="shared" si="3"/>
        <v>7.53373256112766</v>
      </c>
      <c r="K8" s="145">
        <v>1050.67</v>
      </c>
      <c r="L8" s="2">
        <f t="shared" si="4"/>
        <v>7915.4667899999995</v>
      </c>
      <c r="M8" s="53">
        <f t="shared" si="5"/>
        <v>546.271</v>
      </c>
      <c r="N8" s="109">
        <f t="shared" si="6"/>
        <v>14.49</v>
      </c>
      <c r="O8" s="85">
        <v>49.708</v>
      </c>
      <c r="P8" s="20">
        <f t="shared" si="7"/>
        <v>57.24173256112766</v>
      </c>
      <c r="Q8" s="65"/>
      <c r="R8" s="110"/>
      <c r="S8" s="58">
        <v>5989.7</v>
      </c>
      <c r="T8" s="1">
        <f>R8*K8</f>
        <v>0</v>
      </c>
      <c r="U8" s="4">
        <f t="shared" si="8"/>
        <v>0</v>
      </c>
      <c r="V8" s="106">
        <f t="shared" si="9"/>
        <v>110.09585196724704</v>
      </c>
    </row>
    <row r="9" spans="1:22" ht="12.75">
      <c r="A9" s="61" t="s">
        <v>5</v>
      </c>
      <c r="B9" s="104">
        <v>575.59</v>
      </c>
      <c r="C9" s="59">
        <v>0</v>
      </c>
      <c r="D9" s="2">
        <f t="shared" si="0"/>
        <v>575.59</v>
      </c>
      <c r="E9" s="102"/>
      <c r="F9" s="20"/>
      <c r="G9" s="53"/>
      <c r="H9" s="80">
        <f t="shared" si="1"/>
        <v>7.938076751025536</v>
      </c>
      <c r="I9" s="80">
        <f t="shared" si="2"/>
        <v>0</v>
      </c>
      <c r="J9" s="65">
        <f t="shared" si="3"/>
        <v>7.938076751025536</v>
      </c>
      <c r="K9" s="145">
        <v>1050.67</v>
      </c>
      <c r="L9" s="2">
        <f t="shared" si="4"/>
        <v>8340.2991</v>
      </c>
      <c r="M9" s="53">
        <f t="shared" si="5"/>
        <v>575.59</v>
      </c>
      <c r="N9" s="109">
        <f t="shared" si="6"/>
        <v>14.49</v>
      </c>
      <c r="O9" s="85">
        <v>61.049</v>
      </c>
      <c r="P9" s="20">
        <f t="shared" si="7"/>
        <v>68.98707675102554</v>
      </c>
      <c r="Q9" s="65"/>
      <c r="R9" s="110"/>
      <c r="S9" s="58">
        <v>5514.4</v>
      </c>
      <c r="T9" s="1">
        <f>R9*K9</f>
        <v>0</v>
      </c>
      <c r="U9" s="4">
        <f t="shared" si="8"/>
        <v>0</v>
      </c>
      <c r="V9" s="106">
        <f t="shared" si="9"/>
        <v>125.92757332476242</v>
      </c>
    </row>
    <row r="10" spans="1:22" ht="12.75">
      <c r="A10" s="61" t="s">
        <v>8</v>
      </c>
      <c r="B10" s="104">
        <v>380.93</v>
      </c>
      <c r="C10" s="59">
        <v>0</v>
      </c>
      <c r="D10" s="2">
        <f t="shared" si="0"/>
        <v>380.93</v>
      </c>
      <c r="E10" s="59"/>
      <c r="F10" s="20"/>
      <c r="G10" s="53">
        <v>21.64</v>
      </c>
      <c r="H10" s="80">
        <f t="shared" si="1"/>
        <v>5.25348177829385</v>
      </c>
      <c r="I10" s="80">
        <f t="shared" si="2"/>
        <v>0</v>
      </c>
      <c r="J10" s="65">
        <f t="shared" si="3"/>
        <v>26.89348177829385</v>
      </c>
      <c r="K10" s="145">
        <v>1050.67</v>
      </c>
      <c r="L10" s="2">
        <f t="shared" si="4"/>
        <v>28256.1745</v>
      </c>
      <c r="M10" s="53">
        <f t="shared" si="5"/>
        <v>380.93</v>
      </c>
      <c r="N10" s="109">
        <f t="shared" si="6"/>
        <v>74.17681595043709</v>
      </c>
      <c r="O10" s="85">
        <v>33.614</v>
      </c>
      <c r="P10" s="20">
        <f t="shared" si="7"/>
        <v>38.86748177829385</v>
      </c>
      <c r="Q10" s="65"/>
      <c r="R10" s="110">
        <f>P10-J10</f>
        <v>11.974</v>
      </c>
      <c r="S10" s="58">
        <v>3718.8</v>
      </c>
      <c r="T10" s="1">
        <f>R10*K10</f>
        <v>12580.722580000001</v>
      </c>
      <c r="U10" s="4">
        <f t="shared" si="8"/>
        <v>3.383005964289556</v>
      </c>
      <c r="V10" s="106">
        <f t="shared" si="9"/>
        <v>107.20315302023994</v>
      </c>
    </row>
    <row r="11" spans="1:22" ht="12.75">
      <c r="A11" s="61" t="s">
        <v>10</v>
      </c>
      <c r="B11" s="104">
        <v>467.411</v>
      </c>
      <c r="C11" s="59">
        <v>0</v>
      </c>
      <c r="D11" s="2">
        <f t="shared" si="0"/>
        <v>467.411</v>
      </c>
      <c r="E11" s="59"/>
      <c r="F11" s="20"/>
      <c r="G11" s="53">
        <v>24.633</v>
      </c>
      <c r="H11" s="80">
        <f t="shared" si="1"/>
        <v>6.446158536933575</v>
      </c>
      <c r="I11" s="80">
        <f t="shared" si="2"/>
        <v>0</v>
      </c>
      <c r="J11" s="65">
        <f t="shared" si="3"/>
        <v>31.079158536933576</v>
      </c>
      <c r="K11" s="145">
        <v>1050.67</v>
      </c>
      <c r="L11" s="2">
        <f t="shared" si="4"/>
        <v>32653.939500000004</v>
      </c>
      <c r="M11" s="53">
        <f t="shared" si="5"/>
        <v>467.411</v>
      </c>
      <c r="N11" s="109">
        <f t="shared" si="6"/>
        <v>69.86129872852801</v>
      </c>
      <c r="O11" s="85">
        <v>44.705</v>
      </c>
      <c r="P11" s="20">
        <f t="shared" si="7"/>
        <v>51.15115853693357</v>
      </c>
      <c r="Q11" s="65"/>
      <c r="R11" s="110">
        <v>10.35</v>
      </c>
      <c r="S11" s="58">
        <v>5981.3</v>
      </c>
      <c r="T11" s="1">
        <f aca="true" t="shared" si="10" ref="T11:T17">R11*K11</f>
        <v>10874.434500000001</v>
      </c>
      <c r="U11" s="4">
        <f t="shared" si="8"/>
        <v>1.8180720746326051</v>
      </c>
      <c r="V11" s="106">
        <f t="shared" si="9"/>
        <v>114.98015181499792</v>
      </c>
    </row>
    <row r="12" spans="1:22" ht="12.75">
      <c r="A12" s="61" t="s">
        <v>11</v>
      </c>
      <c r="B12" s="104">
        <v>310.258</v>
      </c>
      <c r="C12" s="59">
        <v>0</v>
      </c>
      <c r="D12" s="2">
        <f t="shared" si="0"/>
        <v>310.258</v>
      </c>
      <c r="E12" s="67"/>
      <c r="F12" s="20"/>
      <c r="G12" s="53">
        <v>15.629</v>
      </c>
      <c r="H12" s="80">
        <f t="shared" si="1"/>
        <v>4.27883009888928</v>
      </c>
      <c r="I12" s="80">
        <f t="shared" si="2"/>
        <v>0</v>
      </c>
      <c r="J12" s="65">
        <f t="shared" si="3"/>
        <v>19.907830098889278</v>
      </c>
      <c r="K12" s="145">
        <v>1050.67</v>
      </c>
      <c r="L12" s="2">
        <f t="shared" si="4"/>
        <v>20916.559849999998</v>
      </c>
      <c r="M12" s="53">
        <f t="shared" si="5"/>
        <v>310.258</v>
      </c>
      <c r="N12" s="109">
        <f t="shared" si="6"/>
        <v>67.41666564601074</v>
      </c>
      <c r="O12" s="85">
        <v>35.959</v>
      </c>
      <c r="P12" s="20">
        <f t="shared" si="7"/>
        <v>40.23783009888928</v>
      </c>
      <c r="Q12" s="65"/>
      <c r="R12" s="110">
        <v>13.047</v>
      </c>
      <c r="S12" s="58">
        <v>3323</v>
      </c>
      <c r="T12" s="1">
        <f t="shared" si="10"/>
        <v>13708.09149</v>
      </c>
      <c r="U12" s="4">
        <f t="shared" si="8"/>
        <v>4.125215615407765</v>
      </c>
      <c r="V12" s="106">
        <f t="shared" si="9"/>
        <v>136.26298419380004</v>
      </c>
    </row>
    <row r="13" spans="1:22" ht="12.75">
      <c r="A13" s="61" t="s">
        <v>12</v>
      </c>
      <c r="B13" s="104">
        <v>887.677</v>
      </c>
      <c r="C13" s="59">
        <v>0</v>
      </c>
      <c r="D13" s="2">
        <f t="shared" si="0"/>
        <v>887.677</v>
      </c>
      <c r="E13" s="103"/>
      <c r="F13" s="20"/>
      <c r="G13" s="53"/>
      <c r="H13" s="80">
        <f t="shared" si="1"/>
        <v>12.242130954533772</v>
      </c>
      <c r="I13" s="80">
        <f t="shared" si="2"/>
        <v>0</v>
      </c>
      <c r="J13" s="65">
        <f t="shared" si="3"/>
        <v>12.242130954533772</v>
      </c>
      <c r="K13" s="145">
        <v>1050.67</v>
      </c>
      <c r="L13" s="2">
        <f t="shared" si="4"/>
        <v>12862.43973</v>
      </c>
      <c r="M13" s="53">
        <f t="shared" si="5"/>
        <v>887.677</v>
      </c>
      <c r="N13" s="109">
        <f t="shared" si="6"/>
        <v>14.49</v>
      </c>
      <c r="O13" s="85">
        <v>59.427</v>
      </c>
      <c r="P13" s="20">
        <f t="shared" si="7"/>
        <v>71.66913095453377</v>
      </c>
      <c r="Q13" s="65"/>
      <c r="R13" s="110"/>
      <c r="S13" s="58">
        <v>6355.1</v>
      </c>
      <c r="T13" s="1">
        <f t="shared" si="10"/>
        <v>0</v>
      </c>
      <c r="U13" s="4">
        <f t="shared" si="8"/>
        <v>0</v>
      </c>
      <c r="V13" s="106">
        <f t="shared" si="9"/>
        <v>84.82883506050061</v>
      </c>
    </row>
    <row r="14" spans="1:23" s="98" customFormat="1" ht="12.75">
      <c r="A14" s="61" t="s">
        <v>13</v>
      </c>
      <c r="B14" s="104">
        <v>734.368</v>
      </c>
      <c r="C14" s="59">
        <v>0</v>
      </c>
      <c r="D14" s="2">
        <f t="shared" si="0"/>
        <v>734.368</v>
      </c>
      <c r="E14" s="67"/>
      <c r="F14" s="20"/>
      <c r="G14" s="53">
        <v>36.732</v>
      </c>
      <c r="H14" s="80">
        <f t="shared" si="1"/>
        <v>10.127815888908982</v>
      </c>
      <c r="I14" s="80">
        <f t="shared" si="2"/>
        <v>0</v>
      </c>
      <c r="J14" s="65">
        <f t="shared" si="3"/>
        <v>46.85981588890898</v>
      </c>
      <c r="K14" s="145">
        <v>1050.67</v>
      </c>
      <c r="L14" s="2">
        <f t="shared" si="4"/>
        <v>49234.20276000001</v>
      </c>
      <c r="M14" s="53">
        <f t="shared" si="5"/>
        <v>734.368</v>
      </c>
      <c r="N14" s="109">
        <f t="shared" si="6"/>
        <v>67.0429576996819</v>
      </c>
      <c r="O14" s="85">
        <v>43.392</v>
      </c>
      <c r="P14" s="20">
        <f t="shared" si="7"/>
        <v>53.51981588890899</v>
      </c>
      <c r="Q14" s="65"/>
      <c r="R14" s="110">
        <v>-0.067</v>
      </c>
      <c r="S14" s="96">
        <v>4183.8</v>
      </c>
      <c r="T14" s="1">
        <f t="shared" si="10"/>
        <v>-70.39489</v>
      </c>
      <c r="U14" s="25">
        <f t="shared" si="8"/>
        <v>-0.016825586787131315</v>
      </c>
      <c r="V14" s="106">
        <f t="shared" si="9"/>
        <v>76.57150769096694</v>
      </c>
      <c r="W14"/>
    </row>
    <row r="15" spans="1:22" ht="12.75">
      <c r="A15" s="61" t="s">
        <v>14</v>
      </c>
      <c r="B15" s="104">
        <v>412.675</v>
      </c>
      <c r="C15" s="59">
        <v>0</v>
      </c>
      <c r="D15" s="2">
        <f t="shared" si="0"/>
        <v>412.675</v>
      </c>
      <c r="E15" s="103"/>
      <c r="F15" s="20"/>
      <c r="G15" s="53"/>
      <c r="H15" s="80">
        <f t="shared" si="1"/>
        <v>5.691283419151588</v>
      </c>
      <c r="I15" s="80">
        <f t="shared" si="2"/>
        <v>0</v>
      </c>
      <c r="J15" s="65">
        <f t="shared" si="3"/>
        <v>5.691283419151588</v>
      </c>
      <c r="K15" s="145">
        <v>1050.67</v>
      </c>
      <c r="L15" s="2">
        <f t="shared" si="4"/>
        <v>5979.66075</v>
      </c>
      <c r="M15" s="53">
        <f t="shared" si="5"/>
        <v>412.675</v>
      </c>
      <c r="N15" s="109">
        <f t="shared" si="6"/>
        <v>14.49</v>
      </c>
      <c r="O15" s="85">
        <v>34.579</v>
      </c>
      <c r="P15" s="20">
        <f t="shared" si="7"/>
        <v>40.27028341915159</v>
      </c>
      <c r="Q15" s="65"/>
      <c r="R15" s="110"/>
      <c r="S15" s="58">
        <v>3908.1</v>
      </c>
      <c r="T15" s="1">
        <f t="shared" si="10"/>
        <v>0</v>
      </c>
      <c r="U15" s="4">
        <f t="shared" si="8"/>
        <v>0</v>
      </c>
      <c r="V15" s="106">
        <f t="shared" si="9"/>
        <v>102.52808791421822</v>
      </c>
    </row>
    <row r="16" spans="1:22" ht="12.75">
      <c r="A16" s="61" t="s">
        <v>15</v>
      </c>
      <c r="B16" s="104">
        <v>476.425</v>
      </c>
      <c r="C16" s="59">
        <v>0</v>
      </c>
      <c r="D16" s="2">
        <f t="shared" si="0"/>
        <v>476.425</v>
      </c>
      <c r="E16" s="67"/>
      <c r="F16" s="20"/>
      <c r="G16" s="53">
        <v>26.554</v>
      </c>
      <c r="H16" s="80">
        <f t="shared" si="1"/>
        <v>6.57047241284133</v>
      </c>
      <c r="I16" s="80">
        <f t="shared" si="2"/>
        <v>0</v>
      </c>
      <c r="J16" s="65">
        <f t="shared" si="3"/>
        <v>33.12447241284133</v>
      </c>
      <c r="K16" s="145">
        <v>1050.67</v>
      </c>
      <c r="L16" s="2">
        <f t="shared" si="4"/>
        <v>34802.88943</v>
      </c>
      <c r="M16" s="53">
        <f t="shared" si="5"/>
        <v>476.425</v>
      </c>
      <c r="N16" s="109">
        <f t="shared" si="6"/>
        <v>73.05009063336307</v>
      </c>
      <c r="O16" s="85">
        <v>66.861</v>
      </c>
      <c r="P16" s="20">
        <f t="shared" si="7"/>
        <v>73.43147241284133</v>
      </c>
      <c r="Q16" s="65"/>
      <c r="R16" s="110">
        <v>26.656</v>
      </c>
      <c r="S16" s="58">
        <v>5485.5</v>
      </c>
      <c r="T16" s="1">
        <f t="shared" si="10"/>
        <v>28006.65952</v>
      </c>
      <c r="U16" s="4">
        <f t="shared" si="8"/>
        <v>5.105580078388479</v>
      </c>
      <c r="V16" s="106">
        <f t="shared" si="9"/>
        <v>161.9399593220339</v>
      </c>
    </row>
    <row r="17" spans="1:22" ht="12.75">
      <c r="A17" s="61" t="s">
        <v>16</v>
      </c>
      <c r="B17" s="104">
        <v>524.204</v>
      </c>
      <c r="C17" s="59">
        <v>0</v>
      </c>
      <c r="D17" s="2">
        <f t="shared" si="0"/>
        <v>524.204</v>
      </c>
      <c r="E17" s="67"/>
      <c r="F17" s="20"/>
      <c r="G17" s="53">
        <v>28.169</v>
      </c>
      <c r="H17" s="80">
        <f t="shared" si="1"/>
        <v>7.22940215291195</v>
      </c>
      <c r="I17" s="80">
        <f t="shared" si="2"/>
        <v>0</v>
      </c>
      <c r="J17" s="65">
        <f t="shared" si="3"/>
        <v>35.39840215291195</v>
      </c>
      <c r="K17" s="145">
        <v>1050.67</v>
      </c>
      <c r="L17" s="2">
        <f t="shared" si="4"/>
        <v>37192.03919</v>
      </c>
      <c r="M17" s="53">
        <f t="shared" si="5"/>
        <v>524.204</v>
      </c>
      <c r="N17" s="109">
        <f t="shared" si="6"/>
        <v>70.94955244523126</v>
      </c>
      <c r="O17" s="85">
        <v>49.366</v>
      </c>
      <c r="P17" s="20">
        <f t="shared" si="7"/>
        <v>56.59540215291195</v>
      </c>
      <c r="Q17" s="65"/>
      <c r="R17" s="110">
        <v>8.786</v>
      </c>
      <c r="S17" s="58">
        <v>4673.4</v>
      </c>
      <c r="T17" s="1">
        <f t="shared" si="10"/>
        <v>9231.18662</v>
      </c>
      <c r="U17" s="4">
        <f t="shared" si="8"/>
        <v>1.975261398553516</v>
      </c>
      <c r="V17" s="106">
        <f t="shared" si="9"/>
        <v>113.43501991591062</v>
      </c>
    </row>
    <row r="18" spans="1:22" s="133" customFormat="1" ht="15.75" customHeight="1">
      <c r="A18" s="122" t="s">
        <v>153</v>
      </c>
      <c r="B18" s="123"/>
      <c r="C18" s="122"/>
      <c r="D18" s="122"/>
      <c r="E18" s="124"/>
      <c r="F18" s="125"/>
      <c r="G18" s="125"/>
      <c r="H18" s="125"/>
      <c r="I18" s="125"/>
      <c r="J18" s="126"/>
      <c r="K18" s="146"/>
      <c r="L18" s="122"/>
      <c r="M18" s="127"/>
      <c r="N18" s="128"/>
      <c r="O18" s="127"/>
      <c r="P18" s="125"/>
      <c r="Q18" s="126"/>
      <c r="R18" s="129"/>
      <c r="S18" s="130"/>
      <c r="T18" s="130"/>
      <c r="U18" s="131"/>
      <c r="V18" s="132"/>
    </row>
    <row r="19" spans="1:22" ht="12.75">
      <c r="A19" s="147" t="s">
        <v>0</v>
      </c>
      <c r="B19" s="104">
        <v>829.592</v>
      </c>
      <c r="C19" s="59">
        <v>300</v>
      </c>
      <c r="D19" s="41">
        <f aca="true" t="shared" si="11" ref="D19:D27">B19+C19</f>
        <v>1129.592</v>
      </c>
      <c r="E19" s="67">
        <v>0.0618</v>
      </c>
      <c r="F19" s="117">
        <f aca="true" t="shared" si="12" ref="F19:F27">D19*E19</f>
        <v>69.80878560000001</v>
      </c>
      <c r="G19" s="117"/>
      <c r="H19" s="80">
        <f>B19*14.49/1050.67</f>
        <v>11.441069108283285</v>
      </c>
      <c r="I19" s="80">
        <f aca="true" t="shared" si="13" ref="I19:I27">C19*13.98/1050.67</f>
        <v>3.991738604890213</v>
      </c>
      <c r="J19" s="118">
        <f aca="true" t="shared" si="14" ref="J19:J26">F19+H19+I19</f>
        <v>85.24159331317351</v>
      </c>
      <c r="K19" s="145">
        <v>1050.67</v>
      </c>
      <c r="L19" s="41">
        <f aca="true" t="shared" si="15" ref="L19:L27">J19*K19</f>
        <v>89560.78484635202</v>
      </c>
      <c r="M19" s="54">
        <f aca="true" t="shared" si="16" ref="M19:M27">D19</f>
        <v>1129.592</v>
      </c>
      <c r="N19" s="119">
        <f aca="true" t="shared" si="17" ref="N19:N27">L19/M19</f>
        <v>79.28595886510529</v>
      </c>
      <c r="O19" s="85">
        <v>58.896</v>
      </c>
      <c r="P19" s="117">
        <f aca="true" t="shared" si="18" ref="P19:P27">H19+I19+O19</f>
        <v>74.3288077131735</v>
      </c>
      <c r="Q19" s="118">
        <f aca="true" t="shared" si="19" ref="Q19:Q27">P19-J19</f>
        <v>-10.912785600000007</v>
      </c>
      <c r="R19" s="120"/>
      <c r="S19" s="58">
        <v>9290.5</v>
      </c>
      <c r="T19" s="24">
        <f aca="true" t="shared" si="20" ref="T19:T27">Q19*K19</f>
        <v>-11465.736446352008</v>
      </c>
      <c r="U19" s="121">
        <f aca="true" t="shared" si="21" ref="U19:U27">T19/S19</f>
        <v>-1.234135562817072</v>
      </c>
      <c r="V19" s="106">
        <f aca="true" t="shared" si="22" ref="V19:V28">P19*K19/D19</f>
        <v>69.13562454408319</v>
      </c>
    </row>
    <row r="20" spans="1:22" ht="12.75">
      <c r="A20" s="147" t="s">
        <v>1</v>
      </c>
      <c r="B20" s="104">
        <v>19.635</v>
      </c>
      <c r="C20" s="59">
        <v>669</v>
      </c>
      <c r="D20" s="41">
        <f t="shared" si="11"/>
        <v>688.635</v>
      </c>
      <c r="E20" s="59">
        <v>0.0561</v>
      </c>
      <c r="F20" s="117">
        <f t="shared" si="12"/>
        <v>38.632423499999994</v>
      </c>
      <c r="G20" s="117"/>
      <c r="H20" s="80">
        <f>B20*14.49/1050.67</f>
        <v>0.2707902100564402</v>
      </c>
      <c r="I20" s="80">
        <f t="shared" si="13"/>
        <v>8.901577088905174</v>
      </c>
      <c r="J20" s="118">
        <f t="shared" si="14"/>
        <v>47.804790798961605</v>
      </c>
      <c r="K20" s="145">
        <v>1050.67</v>
      </c>
      <c r="L20" s="41">
        <f t="shared" si="15"/>
        <v>50227.05954874499</v>
      </c>
      <c r="M20" s="54">
        <f t="shared" si="16"/>
        <v>688.635</v>
      </c>
      <c r="N20" s="119">
        <f t="shared" si="17"/>
        <v>72.93712859315166</v>
      </c>
      <c r="O20" s="85">
        <v>78.755</v>
      </c>
      <c r="P20" s="117">
        <f t="shared" si="18"/>
        <v>87.92736729896161</v>
      </c>
      <c r="Q20" s="118">
        <f t="shared" si="19"/>
        <v>40.12257650000001</v>
      </c>
      <c r="R20" s="120"/>
      <c r="S20" s="58">
        <v>9725.3</v>
      </c>
      <c r="T20" s="24">
        <f t="shared" si="20"/>
        <v>42155.587451255014</v>
      </c>
      <c r="U20" s="121">
        <f t="shared" si="21"/>
        <v>4.33463106035341</v>
      </c>
      <c r="V20" s="106">
        <f t="shared" si="22"/>
        <v>134.1532843959427</v>
      </c>
    </row>
    <row r="21" spans="1:22" ht="12.75">
      <c r="A21" s="147" t="s">
        <v>2</v>
      </c>
      <c r="B21" s="104">
        <v>15.884</v>
      </c>
      <c r="C21" s="59">
        <v>291</v>
      </c>
      <c r="D21" s="41">
        <f t="shared" si="11"/>
        <v>306.884</v>
      </c>
      <c r="E21" s="59">
        <v>0.0498</v>
      </c>
      <c r="F21" s="117">
        <f t="shared" si="12"/>
        <v>15.2828232</v>
      </c>
      <c r="G21" s="117"/>
      <c r="H21" s="80">
        <f>B21*14.49/1050.67</f>
        <v>0.21905941922773087</v>
      </c>
      <c r="I21" s="80">
        <f t="shared" si="13"/>
        <v>3.8719864467435063</v>
      </c>
      <c r="J21" s="118">
        <f t="shared" si="14"/>
        <v>19.37386906597124</v>
      </c>
      <c r="K21" s="145">
        <v>1050.67</v>
      </c>
      <c r="L21" s="41">
        <f t="shared" si="15"/>
        <v>20355.543011544003</v>
      </c>
      <c r="M21" s="54">
        <f t="shared" si="16"/>
        <v>306.884</v>
      </c>
      <c r="N21" s="119">
        <f t="shared" si="17"/>
        <v>66.32976307511633</v>
      </c>
      <c r="O21" s="85">
        <v>42.054</v>
      </c>
      <c r="P21" s="117">
        <f t="shared" si="18"/>
        <v>46.14504586597124</v>
      </c>
      <c r="Q21" s="118">
        <f t="shared" si="19"/>
        <v>26.771176800000003</v>
      </c>
      <c r="R21" s="120"/>
      <c r="S21" s="58">
        <v>6610</v>
      </c>
      <c r="T21" s="24">
        <f t="shared" si="20"/>
        <v>28127.672328456007</v>
      </c>
      <c r="U21" s="121">
        <f t="shared" si="21"/>
        <v>4.2553210784351</v>
      </c>
      <c r="V21" s="106">
        <f t="shared" si="22"/>
        <v>157.98547770493087</v>
      </c>
    </row>
    <row r="22" spans="1:22" ht="12.75">
      <c r="A22" s="147" t="s">
        <v>6</v>
      </c>
      <c r="B22" s="104">
        <v>295.473</v>
      </c>
      <c r="C22" s="59">
        <v>0</v>
      </c>
      <c r="D22" s="41">
        <f t="shared" si="11"/>
        <v>295.473</v>
      </c>
      <c r="E22" s="59">
        <v>0.0587</v>
      </c>
      <c r="F22" s="117">
        <f t="shared" si="12"/>
        <v>17.3442651</v>
      </c>
      <c r="G22" s="117"/>
      <c r="H22" s="80">
        <f>B22*14.49/1050.67</f>
        <v>4.074927208352765</v>
      </c>
      <c r="I22" s="80">
        <f t="shared" si="13"/>
        <v>0</v>
      </c>
      <c r="J22" s="118">
        <f t="shared" si="14"/>
        <v>21.419192308352766</v>
      </c>
      <c r="K22" s="145">
        <v>1050.67</v>
      </c>
      <c r="L22" s="41">
        <f t="shared" si="15"/>
        <v>22504.502782617</v>
      </c>
      <c r="M22" s="54">
        <f t="shared" si="16"/>
        <v>295.473</v>
      </c>
      <c r="N22" s="119">
        <f t="shared" si="17"/>
        <v>76.164329</v>
      </c>
      <c r="O22" s="85">
        <v>34.918</v>
      </c>
      <c r="P22" s="117">
        <f t="shared" si="18"/>
        <v>38.99292720835277</v>
      </c>
      <c r="Q22" s="118">
        <f t="shared" si="19"/>
        <v>17.5737349</v>
      </c>
      <c r="R22" s="120"/>
      <c r="S22" s="58">
        <v>7253</v>
      </c>
      <c r="T22" s="24">
        <f t="shared" si="20"/>
        <v>18464.196047383004</v>
      </c>
      <c r="U22" s="121">
        <f t="shared" si="21"/>
        <v>2.545732255257549</v>
      </c>
      <c r="V22" s="106">
        <f t="shared" si="22"/>
        <v>138.65462776632722</v>
      </c>
    </row>
    <row r="23" spans="1:22" ht="12.75">
      <c r="A23" s="148" t="s">
        <v>7</v>
      </c>
      <c r="B23" s="104">
        <v>0</v>
      </c>
      <c r="C23" s="59">
        <v>0</v>
      </c>
      <c r="D23" s="41">
        <f t="shared" si="11"/>
        <v>0</v>
      </c>
      <c r="E23" s="59">
        <v>0.0299</v>
      </c>
      <c r="F23" s="117">
        <f t="shared" si="12"/>
        <v>0</v>
      </c>
      <c r="G23" s="117"/>
      <c r="H23" s="80">
        <f>B23*14.49/1348.12</f>
        <v>0</v>
      </c>
      <c r="I23" s="80">
        <f t="shared" si="13"/>
        <v>0</v>
      </c>
      <c r="J23" s="118">
        <f t="shared" si="14"/>
        <v>0</v>
      </c>
      <c r="K23" s="145">
        <v>1348.12</v>
      </c>
      <c r="L23" s="41">
        <f t="shared" si="15"/>
        <v>0</v>
      </c>
      <c r="M23" s="54">
        <f t="shared" si="16"/>
        <v>0</v>
      </c>
      <c r="N23" s="119" t="e">
        <f t="shared" si="17"/>
        <v>#DIV/0!</v>
      </c>
      <c r="O23" s="85">
        <v>0</v>
      </c>
      <c r="P23" s="117">
        <f t="shared" si="18"/>
        <v>0</v>
      </c>
      <c r="Q23" s="118">
        <f t="shared" si="19"/>
        <v>0</v>
      </c>
      <c r="R23" s="120"/>
      <c r="S23" s="58">
        <v>760.9</v>
      </c>
      <c r="T23" s="24">
        <f t="shared" si="20"/>
        <v>0</v>
      </c>
      <c r="U23" s="121">
        <f t="shared" si="21"/>
        <v>0</v>
      </c>
      <c r="V23" s="106" t="e">
        <f t="shared" si="22"/>
        <v>#DIV/0!</v>
      </c>
    </row>
    <row r="24" spans="1:22" ht="12.75">
      <c r="A24" s="147" t="s">
        <v>9</v>
      </c>
      <c r="B24" s="104">
        <v>795.251</v>
      </c>
      <c r="C24" s="59">
        <v>0</v>
      </c>
      <c r="D24" s="41">
        <f t="shared" si="11"/>
        <v>795.251</v>
      </c>
      <c r="E24" s="67">
        <v>0.059</v>
      </c>
      <c r="F24" s="117">
        <f t="shared" si="12"/>
        <v>46.919808999999994</v>
      </c>
      <c r="G24" s="117"/>
      <c r="H24" s="80">
        <f>B24*14.49/1050.67</f>
        <v>10.96746551248251</v>
      </c>
      <c r="I24" s="80">
        <f t="shared" si="13"/>
        <v>0</v>
      </c>
      <c r="J24" s="118">
        <f t="shared" si="14"/>
        <v>57.887274512482506</v>
      </c>
      <c r="K24" s="145">
        <v>1050.67</v>
      </c>
      <c r="L24" s="41">
        <f t="shared" si="15"/>
        <v>60820.42271203</v>
      </c>
      <c r="M24" s="54">
        <f t="shared" si="16"/>
        <v>795.251</v>
      </c>
      <c r="N24" s="119">
        <f t="shared" si="17"/>
        <v>76.47953</v>
      </c>
      <c r="O24" s="85">
        <v>97.486</v>
      </c>
      <c r="P24" s="117">
        <f t="shared" si="18"/>
        <v>108.45346551248251</v>
      </c>
      <c r="Q24" s="118">
        <f t="shared" si="19"/>
        <v>50.566191</v>
      </c>
      <c r="R24" s="120"/>
      <c r="S24" s="58">
        <v>9274.6</v>
      </c>
      <c r="T24" s="24">
        <f t="shared" si="20"/>
        <v>53128.37989797001</v>
      </c>
      <c r="U24" s="121">
        <f t="shared" si="21"/>
        <v>5.7283742585092625</v>
      </c>
      <c r="V24" s="106">
        <f t="shared" si="22"/>
        <v>143.28658827213044</v>
      </c>
    </row>
    <row r="25" spans="1:22" ht="12.75">
      <c r="A25" s="147" t="s">
        <v>42</v>
      </c>
      <c r="B25" s="104">
        <v>0</v>
      </c>
      <c r="C25" s="59">
        <v>324</v>
      </c>
      <c r="D25" s="41">
        <f t="shared" si="11"/>
        <v>324</v>
      </c>
      <c r="E25" s="67">
        <v>0.0603</v>
      </c>
      <c r="F25" s="117">
        <f t="shared" si="12"/>
        <v>19.5372</v>
      </c>
      <c r="G25" s="117"/>
      <c r="H25" s="80">
        <f>B25*14.49/1050.67</f>
        <v>0</v>
      </c>
      <c r="I25" s="80">
        <f t="shared" si="13"/>
        <v>4.31107769328143</v>
      </c>
      <c r="J25" s="118">
        <f t="shared" si="14"/>
        <v>23.848277693281428</v>
      </c>
      <c r="K25" s="145">
        <v>1050.67</v>
      </c>
      <c r="L25" s="41">
        <f t="shared" si="15"/>
        <v>25056.669924</v>
      </c>
      <c r="M25" s="54">
        <f t="shared" si="16"/>
        <v>324</v>
      </c>
      <c r="N25" s="119">
        <f t="shared" si="17"/>
        <v>77.335401</v>
      </c>
      <c r="O25" s="85">
        <v>34.227</v>
      </c>
      <c r="P25" s="117">
        <f t="shared" si="18"/>
        <v>38.53807769328142</v>
      </c>
      <c r="Q25" s="118">
        <f t="shared" si="19"/>
        <v>14.689799999999995</v>
      </c>
      <c r="R25" s="120"/>
      <c r="S25" s="58">
        <v>6616.4</v>
      </c>
      <c r="T25" s="24">
        <f t="shared" si="20"/>
        <v>15434.132165999996</v>
      </c>
      <c r="U25" s="121">
        <f t="shared" si="21"/>
        <v>2.3327084465872674</v>
      </c>
      <c r="V25" s="106">
        <f t="shared" si="22"/>
        <v>124.97161138888887</v>
      </c>
    </row>
    <row r="26" spans="1:22" ht="12.75">
      <c r="A26" s="147" t="s">
        <v>97</v>
      </c>
      <c r="B26" s="104">
        <v>17.869</v>
      </c>
      <c r="C26" s="59">
        <v>60</v>
      </c>
      <c r="D26" s="41">
        <f t="shared" si="11"/>
        <v>77.869</v>
      </c>
      <c r="E26" s="67">
        <v>0.0626</v>
      </c>
      <c r="F26" s="117">
        <f t="shared" si="12"/>
        <v>4.8745994</v>
      </c>
      <c r="G26" s="117"/>
      <c r="H26" s="80">
        <f>B26*14.49/1050.67</f>
        <v>0.2464349510312467</v>
      </c>
      <c r="I26" s="80">
        <f t="shared" si="13"/>
        <v>0.7983477209780426</v>
      </c>
      <c r="J26" s="118">
        <f t="shared" si="14"/>
        <v>5.919382072009289</v>
      </c>
      <c r="K26" s="145">
        <v>1050.67</v>
      </c>
      <c r="L26" s="41">
        <f t="shared" si="15"/>
        <v>6219.317161598</v>
      </c>
      <c r="M26" s="54">
        <f t="shared" si="16"/>
        <v>77.869</v>
      </c>
      <c r="N26" s="119">
        <f t="shared" si="17"/>
        <v>79.8689743235177</v>
      </c>
      <c r="O26" s="85">
        <v>12.684</v>
      </c>
      <c r="P26" s="117">
        <f t="shared" si="18"/>
        <v>13.728782672009288</v>
      </c>
      <c r="Q26" s="118">
        <f t="shared" si="19"/>
        <v>7.809400599999999</v>
      </c>
      <c r="R26" s="120"/>
      <c r="S26" s="58">
        <v>2905.2</v>
      </c>
      <c r="T26" s="24">
        <f t="shared" si="20"/>
        <v>8205.102928402</v>
      </c>
      <c r="U26" s="121">
        <f t="shared" si="21"/>
        <v>2.8242816082892745</v>
      </c>
      <c r="V26" s="106">
        <f t="shared" si="22"/>
        <v>185.23957017555125</v>
      </c>
    </row>
    <row r="27" spans="1:22" ht="12.75">
      <c r="A27" s="147" t="s">
        <v>49</v>
      </c>
      <c r="B27" s="104">
        <v>49.247</v>
      </c>
      <c r="C27" s="59">
        <v>0</v>
      </c>
      <c r="D27" s="41">
        <f t="shared" si="11"/>
        <v>49.247</v>
      </c>
      <c r="E27" s="67">
        <v>0.477</v>
      </c>
      <c r="F27" s="117">
        <f t="shared" si="12"/>
        <v>23.490819</v>
      </c>
      <c r="G27" s="54"/>
      <c r="H27" s="80">
        <f>B27*14.49/1050.67</f>
        <v>0.6791752215253124</v>
      </c>
      <c r="I27" s="80">
        <f t="shared" si="13"/>
        <v>0</v>
      </c>
      <c r="J27" s="118">
        <f>G27+H27</f>
        <v>0.6791752215253124</v>
      </c>
      <c r="K27" s="145">
        <v>1050.67</v>
      </c>
      <c r="L27" s="41">
        <f t="shared" si="15"/>
        <v>713.58903</v>
      </c>
      <c r="M27" s="54">
        <f t="shared" si="16"/>
        <v>49.247</v>
      </c>
      <c r="N27" s="119">
        <f t="shared" si="17"/>
        <v>14.49</v>
      </c>
      <c r="O27" s="85">
        <v>3.045</v>
      </c>
      <c r="P27" s="117">
        <f t="shared" si="18"/>
        <v>3.7241752215253126</v>
      </c>
      <c r="Q27" s="118">
        <f t="shared" si="19"/>
        <v>3.045</v>
      </c>
      <c r="R27" s="120"/>
      <c r="S27" s="58">
        <v>663.9</v>
      </c>
      <c r="T27" s="24">
        <f t="shared" si="20"/>
        <v>3199.2901500000003</v>
      </c>
      <c r="U27" s="121">
        <f t="shared" si="21"/>
        <v>4.818933800271126</v>
      </c>
      <c r="V27" s="106">
        <f t="shared" si="22"/>
        <v>79.45416329928727</v>
      </c>
    </row>
    <row r="28" spans="1:22" ht="12.75">
      <c r="A28" s="73" t="s">
        <v>17</v>
      </c>
      <c r="B28" s="141">
        <f>SUM(B7:B27)</f>
        <v>8018.022</v>
      </c>
      <c r="C28" s="154">
        <f>SUM(C7:C27)</f>
        <v>1644</v>
      </c>
      <c r="D28" s="154">
        <f aca="true" t="shared" si="23" ref="D28:J28">SUM(D7:D27)</f>
        <v>9662.022</v>
      </c>
      <c r="E28" s="154">
        <f t="shared" si="23"/>
        <v>0.9152</v>
      </c>
      <c r="F28" s="154">
        <f t="shared" si="23"/>
        <v>235.89072479999996</v>
      </c>
      <c r="G28" s="154">
        <f t="shared" si="23"/>
        <v>153.357</v>
      </c>
      <c r="H28" s="154">
        <f t="shared" si="23"/>
        <v>110.57814421274043</v>
      </c>
      <c r="I28" s="154">
        <f t="shared" si="23"/>
        <v>21.874727554798366</v>
      </c>
      <c r="J28" s="154">
        <f t="shared" si="23"/>
        <v>498.2097775675388</v>
      </c>
      <c r="K28" s="154">
        <v>1050.67</v>
      </c>
      <c r="L28" s="154">
        <f>SUM(L7:L27)</f>
        <v>523454.066996886</v>
      </c>
      <c r="M28" s="154">
        <f>SUM(M7:M27)</f>
        <v>9662.022</v>
      </c>
      <c r="N28" s="154"/>
      <c r="O28" s="154">
        <f aca="true" t="shared" si="24" ref="O28:T28">SUM(O7:O27)</f>
        <v>907.6399999999999</v>
      </c>
      <c r="P28" s="154">
        <f t="shared" si="24"/>
        <v>1040.0928717675386</v>
      </c>
      <c r="Q28" s="154">
        <f t="shared" si="24"/>
        <v>149.6650942</v>
      </c>
      <c r="R28" s="154">
        <f t="shared" si="24"/>
        <v>70.746</v>
      </c>
      <c r="S28" s="154">
        <f t="shared" si="24"/>
        <v>108576.79999999999</v>
      </c>
      <c r="T28" s="154">
        <f t="shared" si="24"/>
        <v>231579.324343114</v>
      </c>
      <c r="U28" s="154"/>
      <c r="V28" s="153">
        <f t="shared" si="22"/>
        <v>113.10203781154708</v>
      </c>
    </row>
    <row r="29" ht="15.75" customHeight="1"/>
    <row r="30" spans="1:22" ht="25.5" customHeight="1">
      <c r="A30" s="252" t="s">
        <v>116</v>
      </c>
      <c r="B30" s="270" t="s">
        <v>154</v>
      </c>
      <c r="C30" s="270" t="s">
        <v>127</v>
      </c>
      <c r="D30" s="272" t="s">
        <v>104</v>
      </c>
      <c r="E30" s="270" t="s">
        <v>100</v>
      </c>
      <c r="F30" s="272" t="s">
        <v>128</v>
      </c>
      <c r="G30" s="272" t="s">
        <v>145</v>
      </c>
      <c r="H30" s="268" t="s">
        <v>140</v>
      </c>
      <c r="I30" s="268" t="s">
        <v>131</v>
      </c>
      <c r="J30" s="276" t="s">
        <v>132</v>
      </c>
      <c r="K30" s="278" t="s">
        <v>109</v>
      </c>
      <c r="L30" s="272" t="s">
        <v>124</v>
      </c>
      <c r="M30" s="272" t="s">
        <v>129</v>
      </c>
      <c r="N30" s="350" t="s">
        <v>125</v>
      </c>
      <c r="O30" s="270" t="s">
        <v>133</v>
      </c>
      <c r="P30" s="272" t="s">
        <v>142</v>
      </c>
      <c r="Q30" s="274" t="s">
        <v>135</v>
      </c>
      <c r="R30" s="274" t="s">
        <v>146</v>
      </c>
      <c r="S30" s="278" t="s">
        <v>123</v>
      </c>
      <c r="T30" s="266" t="s">
        <v>115</v>
      </c>
      <c r="U30" s="243" t="s">
        <v>117</v>
      </c>
      <c r="V30" s="334" t="s">
        <v>125</v>
      </c>
    </row>
    <row r="31" spans="1:24" ht="61.5" customHeight="1">
      <c r="A31" s="253"/>
      <c r="B31" s="271"/>
      <c r="C31" s="271"/>
      <c r="D31" s="273"/>
      <c r="E31" s="271"/>
      <c r="F31" s="273"/>
      <c r="G31" s="330"/>
      <c r="H31" s="242"/>
      <c r="I31" s="242"/>
      <c r="J31" s="277"/>
      <c r="K31" s="242"/>
      <c r="L31" s="273"/>
      <c r="M31" s="273"/>
      <c r="N31" s="351"/>
      <c r="O31" s="271"/>
      <c r="P31" s="273"/>
      <c r="Q31" s="275"/>
      <c r="R31" s="349"/>
      <c r="S31" s="242"/>
      <c r="T31" s="267"/>
      <c r="U31" s="240"/>
      <c r="V31" s="348"/>
      <c r="W31" s="137"/>
      <c r="X31" s="137"/>
    </row>
    <row r="32" spans="1:24" s="72" customFormat="1" ht="10.5" customHeight="1">
      <c r="A32" s="68"/>
      <c r="B32" s="69">
        <v>1</v>
      </c>
      <c r="C32" s="69">
        <v>2</v>
      </c>
      <c r="D32" s="69">
        <v>3</v>
      </c>
      <c r="E32" s="69">
        <v>4</v>
      </c>
      <c r="F32" s="149">
        <v>5</v>
      </c>
      <c r="G32" s="149"/>
      <c r="H32" s="69">
        <v>6</v>
      </c>
      <c r="I32" s="69">
        <v>7</v>
      </c>
      <c r="J32" s="69">
        <v>8</v>
      </c>
      <c r="K32" s="69">
        <v>9</v>
      </c>
      <c r="L32" s="69">
        <v>10</v>
      </c>
      <c r="M32" s="69">
        <v>11</v>
      </c>
      <c r="N32" s="108">
        <v>12</v>
      </c>
      <c r="O32" s="69">
        <v>13</v>
      </c>
      <c r="P32" s="69">
        <v>14</v>
      </c>
      <c r="Q32" s="69">
        <v>15</v>
      </c>
      <c r="R32" s="69"/>
      <c r="S32" s="69">
        <v>16</v>
      </c>
      <c r="T32" s="69">
        <v>17</v>
      </c>
      <c r="U32" s="69">
        <v>18</v>
      </c>
      <c r="V32" s="140">
        <v>19</v>
      </c>
      <c r="W32" s="138"/>
      <c r="X32" s="138"/>
    </row>
    <row r="33" spans="1:24" ht="12.75">
      <c r="A33" s="107" t="s">
        <v>147</v>
      </c>
      <c r="B33" s="85">
        <v>391.158</v>
      </c>
      <c r="C33" s="59">
        <v>0</v>
      </c>
      <c r="D33" s="41">
        <f>B33+C33</f>
        <v>391.158</v>
      </c>
      <c r="E33" s="67">
        <v>0.0561</v>
      </c>
      <c r="F33" s="117">
        <f>D33*E33</f>
        <v>21.9439638</v>
      </c>
      <c r="G33" s="117"/>
      <c r="H33" s="80">
        <f>B33*12.89/1199.03</f>
        <v>4.205087962769906</v>
      </c>
      <c r="I33" s="80"/>
      <c r="J33" s="118">
        <f>F33+H33+I33</f>
        <v>26.149051762769904</v>
      </c>
      <c r="K33" s="145">
        <v>1199.03</v>
      </c>
      <c r="L33" s="41">
        <f>J33*K33</f>
        <v>31353.497535114</v>
      </c>
      <c r="M33" s="54">
        <f>D33</f>
        <v>391.158</v>
      </c>
      <c r="N33" s="119">
        <f>L33/M33</f>
        <v>80.155583</v>
      </c>
      <c r="O33" s="85">
        <v>39.282</v>
      </c>
      <c r="P33" s="117">
        <f>H33+I33+O33</f>
        <v>43.487087962769905</v>
      </c>
      <c r="Q33" s="118">
        <f>P33-J33</f>
        <v>17.3380362</v>
      </c>
      <c r="R33" s="120"/>
      <c r="S33" s="58">
        <v>3500.4</v>
      </c>
      <c r="T33" s="24">
        <f>Q33*K33</f>
        <v>20788.825544886</v>
      </c>
      <c r="U33" s="121">
        <f>T33/S33</f>
        <v>5.938985700173123</v>
      </c>
      <c r="V33" s="106">
        <f>P33*K33/D33</f>
        <v>133.30245854616294</v>
      </c>
      <c r="W33" s="139"/>
      <c r="X33" s="137"/>
    </row>
    <row r="34" spans="1:24" ht="12.75">
      <c r="A34" s="107" t="s">
        <v>148</v>
      </c>
      <c r="B34" s="85">
        <v>356.856</v>
      </c>
      <c r="C34" s="59">
        <v>0</v>
      </c>
      <c r="D34" s="41">
        <f>B34+C34</f>
        <v>356.856</v>
      </c>
      <c r="E34" s="67">
        <v>0.0533</v>
      </c>
      <c r="F34" s="117">
        <f>D34*E34</f>
        <v>19.0204248</v>
      </c>
      <c r="G34" s="24"/>
      <c r="H34" s="80">
        <f>B34*12.89/1199.03</f>
        <v>3.8363292327965106</v>
      </c>
      <c r="I34" s="80"/>
      <c r="J34" s="118">
        <f>F34+H34+I34</f>
        <v>22.856754032796513</v>
      </c>
      <c r="K34" s="145">
        <v>1199.03</v>
      </c>
      <c r="L34" s="41">
        <f>J34*K34</f>
        <v>27405.933787944003</v>
      </c>
      <c r="M34" s="54">
        <f>D34</f>
        <v>356.856</v>
      </c>
      <c r="N34" s="150">
        <f>L34/M34</f>
        <v>76.79829900000001</v>
      </c>
      <c r="O34" s="85">
        <v>32.275</v>
      </c>
      <c r="P34" s="117">
        <f>H34+I34+O34</f>
        <v>36.11132923279651</v>
      </c>
      <c r="Q34" s="118">
        <f>P34-J34</f>
        <v>13.254575199999994</v>
      </c>
      <c r="R34" s="24"/>
      <c r="S34" s="58">
        <v>3447.5</v>
      </c>
      <c r="T34" s="24">
        <f>Q34*K34</f>
        <v>15892.633302055992</v>
      </c>
      <c r="U34" s="121">
        <f>T34/S34</f>
        <v>4.6099008852954295</v>
      </c>
      <c r="V34" s="106">
        <f>P34*K34/D34</f>
        <v>121.33344287331585</v>
      </c>
      <c r="W34" s="139"/>
      <c r="X34" s="137"/>
    </row>
    <row r="35" spans="1:24" ht="12.75">
      <c r="A35" s="107" t="s">
        <v>151</v>
      </c>
      <c r="B35" s="85">
        <v>105.617</v>
      </c>
      <c r="C35" s="59">
        <v>0</v>
      </c>
      <c r="D35" s="41">
        <f>B35+C35</f>
        <v>105.617</v>
      </c>
      <c r="E35" s="67">
        <v>0.0548</v>
      </c>
      <c r="F35" s="117">
        <f>D35*E35</f>
        <v>5.7878116</v>
      </c>
      <c r="G35" s="24"/>
      <c r="H35" s="80">
        <f>B35*12.89/1199.03</f>
        <v>1.1354204064952504</v>
      </c>
      <c r="I35" s="80"/>
      <c r="J35" s="118">
        <f>F35+H35+I35</f>
        <v>6.923232006495251</v>
      </c>
      <c r="K35" s="145">
        <v>1199.03</v>
      </c>
      <c r="L35" s="41">
        <f>J35*K35</f>
        <v>8301.162872748</v>
      </c>
      <c r="M35" s="54">
        <f>D35</f>
        <v>105.617</v>
      </c>
      <c r="N35" s="150">
        <f>L35/M35</f>
        <v>78.596844</v>
      </c>
      <c r="O35" s="85">
        <v>12.084</v>
      </c>
      <c r="P35" s="117">
        <f>H35+I35+O35</f>
        <v>13.21942040649525</v>
      </c>
      <c r="Q35" s="118">
        <f>P35-J35</f>
        <v>6.296188399999998</v>
      </c>
      <c r="R35" s="24"/>
      <c r="S35" s="58">
        <v>1478.3</v>
      </c>
      <c r="T35" s="24">
        <f>Q35*K35</f>
        <v>7549.318777251998</v>
      </c>
      <c r="U35" s="121">
        <f>T35/S35</f>
        <v>5.106756935163362</v>
      </c>
      <c r="V35" s="106">
        <f>P35*K35/D35</f>
        <v>150.07509823229213</v>
      </c>
      <c r="W35" s="139"/>
      <c r="X35" s="137"/>
    </row>
    <row r="36" spans="1:21" ht="12.75">
      <c r="A36" s="73" t="s">
        <v>17</v>
      </c>
      <c r="B36" s="88">
        <f>SUM(B33:B35)</f>
        <v>853.631</v>
      </c>
      <c r="C36" s="88">
        <f aca="true" t="shared" si="25" ref="C36:U36">SUM(C33:C35)</f>
        <v>0</v>
      </c>
      <c r="D36" s="88">
        <f t="shared" si="25"/>
        <v>853.631</v>
      </c>
      <c r="E36" s="88"/>
      <c r="F36" s="88">
        <f t="shared" si="25"/>
        <v>46.7522002</v>
      </c>
      <c r="G36" s="88"/>
      <c r="H36" s="88">
        <f t="shared" si="25"/>
        <v>9.176837602061667</v>
      </c>
      <c r="I36" s="88"/>
      <c r="J36" s="88">
        <f t="shared" si="25"/>
        <v>55.92903780206167</v>
      </c>
      <c r="K36" s="142">
        <v>1199.03</v>
      </c>
      <c r="L36" s="143">
        <f t="shared" si="25"/>
        <v>67060.594195806</v>
      </c>
      <c r="M36" s="77">
        <f t="shared" si="25"/>
        <v>853.631</v>
      </c>
      <c r="N36" s="88"/>
      <c r="O36" s="88">
        <f t="shared" si="25"/>
        <v>83.64099999999999</v>
      </c>
      <c r="P36" s="141">
        <f t="shared" si="25"/>
        <v>92.81783760206166</v>
      </c>
      <c r="Q36" s="141">
        <f t="shared" si="25"/>
        <v>36.888799799999994</v>
      </c>
      <c r="R36" s="88">
        <f t="shared" si="25"/>
        <v>0</v>
      </c>
      <c r="S36" s="144">
        <f t="shared" si="25"/>
        <v>8426.199999999999</v>
      </c>
      <c r="T36" s="77">
        <f t="shared" si="25"/>
        <v>44230.77762419399</v>
      </c>
      <c r="U36" s="77">
        <f t="shared" si="25"/>
        <v>15.655643520631912</v>
      </c>
    </row>
  </sheetData>
  <mergeCells count="45">
    <mergeCell ref="I1:J1"/>
    <mergeCell ref="A3:A4"/>
    <mergeCell ref="B3:B4"/>
    <mergeCell ref="C3:C4"/>
    <mergeCell ref="D3:D4"/>
    <mergeCell ref="E3:E4"/>
    <mergeCell ref="F3:F4"/>
    <mergeCell ref="H3:H4"/>
    <mergeCell ref="I3:I4"/>
    <mergeCell ref="G3:G4"/>
    <mergeCell ref="J3:J4"/>
    <mergeCell ref="K3:K4"/>
    <mergeCell ref="L3:L4"/>
    <mergeCell ref="M3:M4"/>
    <mergeCell ref="N3:N4"/>
    <mergeCell ref="O3:O4"/>
    <mergeCell ref="P3:P4"/>
    <mergeCell ref="V3:V4"/>
    <mergeCell ref="Q3:Q4"/>
    <mergeCell ref="S3:S4"/>
    <mergeCell ref="T3:T4"/>
    <mergeCell ref="U3:U4"/>
    <mergeCell ref="R3:R4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U30:U31"/>
    <mergeCell ref="V30:V31"/>
    <mergeCell ref="Q30:Q31"/>
    <mergeCell ref="R30:R31"/>
    <mergeCell ref="S30:S31"/>
    <mergeCell ref="T30:T31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N18" sqref="N18"/>
    </sheetView>
  </sheetViews>
  <sheetFormatPr defaultColWidth="9.00390625" defaultRowHeight="12.75"/>
  <cols>
    <col min="1" max="1" width="15.25390625" style="0" customWidth="1"/>
    <col min="2" max="2" width="7.625" style="0" customWidth="1"/>
    <col min="3" max="3" width="5.75390625" style="0" customWidth="1"/>
    <col min="4" max="4" width="8.75390625" style="0" customWidth="1"/>
    <col min="5" max="5" width="6.75390625" style="0" customWidth="1"/>
    <col min="6" max="6" width="6.375" style="0" customWidth="1"/>
    <col min="7" max="7" width="8.00390625" style="0" customWidth="1"/>
    <col min="8" max="8" width="6.375" style="0" customWidth="1"/>
    <col min="9" max="9" width="6.00390625" style="0" customWidth="1"/>
    <col min="10" max="10" width="6.875" style="0" customWidth="1"/>
    <col min="11" max="11" width="7.125" style="0" customWidth="1"/>
    <col min="12" max="12" width="7.875" style="0" customWidth="1"/>
    <col min="13" max="13" width="8.00390625" style="0" customWidth="1"/>
    <col min="14" max="14" width="6.25390625" style="0" customWidth="1"/>
    <col min="15" max="15" width="7.625" style="0" customWidth="1"/>
    <col min="16" max="17" width="6.125" style="0" customWidth="1"/>
    <col min="18" max="18" width="7.25390625" style="0" customWidth="1"/>
    <col min="19" max="19" width="7.125" style="0" customWidth="1"/>
    <col min="21" max="21" width="6.875" style="3" customWidth="1"/>
    <col min="22" max="22" width="6.625" style="0" customWidth="1"/>
  </cols>
  <sheetData>
    <row r="1" spans="1:21" ht="36.75" customHeight="1">
      <c r="A1" s="63" t="s">
        <v>136</v>
      </c>
      <c r="B1" s="63"/>
      <c r="C1" s="63"/>
      <c r="D1" s="63"/>
      <c r="E1" s="63"/>
      <c r="F1" s="64"/>
      <c r="G1" s="64"/>
      <c r="H1" s="16"/>
      <c r="I1" s="279" t="s">
        <v>158</v>
      </c>
      <c r="J1" s="279"/>
      <c r="K1" s="15">
        <v>2014</v>
      </c>
      <c r="L1" s="16"/>
      <c r="M1" s="16" t="s">
        <v>120</v>
      </c>
      <c r="N1" s="16"/>
      <c r="O1" s="16"/>
      <c r="P1" s="16"/>
      <c r="Q1" s="16"/>
      <c r="R1" s="16"/>
      <c r="S1" s="16" t="s">
        <v>119</v>
      </c>
      <c r="T1" s="16"/>
      <c r="U1" s="16"/>
    </row>
    <row r="2" spans="1:15" ht="27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"/>
    </row>
    <row r="3" spans="1:22" ht="25.5" customHeight="1">
      <c r="A3" s="252" t="s">
        <v>116</v>
      </c>
      <c r="B3" s="270" t="s">
        <v>126</v>
      </c>
      <c r="C3" s="270" t="s">
        <v>127</v>
      </c>
      <c r="D3" s="272" t="s">
        <v>104</v>
      </c>
      <c r="E3" s="270" t="s">
        <v>100</v>
      </c>
      <c r="F3" s="272" t="s">
        <v>128</v>
      </c>
      <c r="G3" s="272" t="s">
        <v>145</v>
      </c>
      <c r="H3" s="268" t="s">
        <v>140</v>
      </c>
      <c r="I3" s="268" t="s">
        <v>131</v>
      </c>
      <c r="J3" s="276" t="s">
        <v>132</v>
      </c>
      <c r="K3" s="278" t="s">
        <v>109</v>
      </c>
      <c r="L3" s="272" t="s">
        <v>124</v>
      </c>
      <c r="M3" s="272" t="s">
        <v>129</v>
      </c>
      <c r="N3" s="241" t="s">
        <v>125</v>
      </c>
      <c r="O3" s="270" t="s">
        <v>133</v>
      </c>
      <c r="P3" s="272" t="s">
        <v>142</v>
      </c>
      <c r="Q3" s="274" t="s">
        <v>135</v>
      </c>
      <c r="R3" s="274" t="s">
        <v>146</v>
      </c>
      <c r="S3" s="278" t="s">
        <v>123</v>
      </c>
      <c r="T3" s="266" t="s">
        <v>115</v>
      </c>
      <c r="U3" s="243" t="s">
        <v>117</v>
      </c>
      <c r="V3" s="290" t="s">
        <v>155</v>
      </c>
    </row>
    <row r="4" spans="1:22" ht="63" customHeight="1">
      <c r="A4" s="253"/>
      <c r="B4" s="271"/>
      <c r="C4" s="271"/>
      <c r="D4" s="273"/>
      <c r="E4" s="271"/>
      <c r="F4" s="273"/>
      <c r="G4" s="330"/>
      <c r="H4" s="242"/>
      <c r="I4" s="242"/>
      <c r="J4" s="277"/>
      <c r="K4" s="242"/>
      <c r="L4" s="273"/>
      <c r="M4" s="273"/>
      <c r="N4" s="269"/>
      <c r="O4" s="271"/>
      <c r="P4" s="273"/>
      <c r="Q4" s="275"/>
      <c r="R4" s="349"/>
      <c r="S4" s="242"/>
      <c r="T4" s="267"/>
      <c r="U4" s="240"/>
      <c r="V4" s="291"/>
    </row>
    <row r="5" spans="1:22" s="72" customFormat="1" ht="10.5" customHeight="1">
      <c r="A5" s="68"/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69"/>
      <c r="H5" s="69">
        <v>6</v>
      </c>
      <c r="I5" s="69">
        <v>7</v>
      </c>
      <c r="J5" s="69">
        <v>8</v>
      </c>
      <c r="K5" s="69">
        <v>9</v>
      </c>
      <c r="L5" s="69">
        <v>10</v>
      </c>
      <c r="M5" s="69">
        <v>11</v>
      </c>
      <c r="N5" s="184">
        <v>12</v>
      </c>
      <c r="O5" s="69">
        <v>13</v>
      </c>
      <c r="P5" s="69">
        <v>14</v>
      </c>
      <c r="Q5" s="69">
        <v>15</v>
      </c>
      <c r="R5" s="69"/>
      <c r="S5" s="69">
        <v>16</v>
      </c>
      <c r="T5" s="69">
        <v>17</v>
      </c>
      <c r="U5" s="69">
        <v>18</v>
      </c>
      <c r="V5" s="193">
        <v>19</v>
      </c>
    </row>
    <row r="6" spans="1:22" s="136" customFormat="1" ht="14.25" customHeight="1">
      <c r="A6" s="134" t="s">
        <v>152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96"/>
      <c r="O6" s="134"/>
      <c r="P6" s="134"/>
      <c r="Q6" s="134"/>
      <c r="R6" s="134"/>
      <c r="S6" s="134"/>
      <c r="T6" s="134"/>
      <c r="U6" s="134"/>
      <c r="V6" s="191"/>
    </row>
    <row r="7" spans="1:22" ht="12.75">
      <c r="A7" s="61" t="s">
        <v>3</v>
      </c>
      <c r="B7" s="104">
        <v>142.518</v>
      </c>
      <c r="C7" s="59">
        <v>0</v>
      </c>
      <c r="D7" s="2">
        <f aca="true" t="shared" si="0" ref="D7:D17">B7+C7</f>
        <v>142.518</v>
      </c>
      <c r="E7" s="102"/>
      <c r="F7" s="20"/>
      <c r="G7" s="53">
        <v>9.005</v>
      </c>
      <c r="H7" s="80">
        <f aca="true" t="shared" si="1" ref="H7:H17">B7*14.49/1050.67</f>
        <v>1.9654942274929332</v>
      </c>
      <c r="I7" s="80">
        <f aca="true" t="shared" si="2" ref="I7:I17">C7*13.98/1050.67</f>
        <v>0</v>
      </c>
      <c r="J7" s="65">
        <f aca="true" t="shared" si="3" ref="J7:J17">G7+H7</f>
        <v>10.970494227492933</v>
      </c>
      <c r="K7" s="145">
        <v>1050.67</v>
      </c>
      <c r="L7" s="2">
        <f aca="true" t="shared" si="4" ref="L7:L17">J7*K7</f>
        <v>11526.369170000002</v>
      </c>
      <c r="M7" s="53">
        <f aca="true" t="shared" si="5" ref="M7:M17">D7</f>
        <v>142.518</v>
      </c>
      <c r="N7" s="21">
        <f aca="true" t="shared" si="6" ref="N7:N17">L7/M7</f>
        <v>80.87658520327258</v>
      </c>
      <c r="O7" s="85">
        <v>185.623</v>
      </c>
      <c r="P7" s="20">
        <f aca="true" t="shared" si="7" ref="P7:P17">H7+I7+O7</f>
        <v>187.58849422749293</v>
      </c>
      <c r="Q7" s="65"/>
      <c r="R7" s="169">
        <f aca="true" t="shared" si="8" ref="R7:R17">P7-J7</f>
        <v>176.618</v>
      </c>
      <c r="S7" s="58">
        <v>6343.9</v>
      </c>
      <c r="T7" s="1">
        <f aca="true" t="shared" si="9" ref="T7:T17">R7*K7</f>
        <v>185567.23406000002</v>
      </c>
      <c r="U7" s="4">
        <f aca="true" t="shared" si="10" ref="U7:U17">T7/S7</f>
        <v>29.251286126830504</v>
      </c>
      <c r="V7" s="194">
        <f>P7*K7/D7</f>
        <v>1382.938318177353</v>
      </c>
    </row>
    <row r="8" spans="1:22" ht="12.75">
      <c r="A8" s="61" t="s">
        <v>4</v>
      </c>
      <c r="B8" s="104">
        <v>368.676</v>
      </c>
      <c r="C8" s="59">
        <v>0</v>
      </c>
      <c r="D8" s="2">
        <f t="shared" si="0"/>
        <v>368.676</v>
      </c>
      <c r="E8" s="103"/>
      <c r="F8" s="20"/>
      <c r="G8" s="53">
        <v>21.823</v>
      </c>
      <c r="H8" s="80">
        <f t="shared" si="1"/>
        <v>5.084484414706806</v>
      </c>
      <c r="I8" s="80">
        <f t="shared" si="2"/>
        <v>0</v>
      </c>
      <c r="J8" s="65">
        <f t="shared" si="3"/>
        <v>26.907484414706808</v>
      </c>
      <c r="K8" s="145">
        <v>1050.67</v>
      </c>
      <c r="L8" s="2">
        <f t="shared" si="4"/>
        <v>28270.886650000004</v>
      </c>
      <c r="M8" s="53">
        <f t="shared" si="5"/>
        <v>368.676</v>
      </c>
      <c r="N8" s="21">
        <f t="shared" si="6"/>
        <v>76.6821996821057</v>
      </c>
      <c r="O8" s="85">
        <v>103.353</v>
      </c>
      <c r="P8" s="20">
        <f t="shared" si="7"/>
        <v>108.4374844147068</v>
      </c>
      <c r="Q8" s="65"/>
      <c r="R8" s="169">
        <f t="shared" si="8"/>
        <v>81.53</v>
      </c>
      <c r="S8" s="58">
        <v>5989.7</v>
      </c>
      <c r="T8" s="1">
        <f t="shared" si="9"/>
        <v>85661.1251</v>
      </c>
      <c r="U8" s="4">
        <f t="shared" si="10"/>
        <v>14.301404928460524</v>
      </c>
      <c r="V8" s="194">
        <f aca="true" t="shared" si="11" ref="V8:V17">P8*K8/D8</f>
        <v>309.0301830062169</v>
      </c>
    </row>
    <row r="9" spans="1:22" ht="12.75">
      <c r="A9" s="61" t="s">
        <v>5</v>
      </c>
      <c r="B9" s="104">
        <v>575.59</v>
      </c>
      <c r="C9" s="59">
        <v>0</v>
      </c>
      <c r="D9" s="2">
        <f t="shared" si="0"/>
        <v>575.59</v>
      </c>
      <c r="E9" s="102"/>
      <c r="F9" s="20"/>
      <c r="G9" s="53">
        <v>26.963</v>
      </c>
      <c r="H9" s="80">
        <f t="shared" si="1"/>
        <v>7.938076751025536</v>
      </c>
      <c r="I9" s="80">
        <f t="shared" si="2"/>
        <v>0</v>
      </c>
      <c r="J9" s="65">
        <f t="shared" si="3"/>
        <v>34.901076751025535</v>
      </c>
      <c r="K9" s="145">
        <v>1050.67</v>
      </c>
      <c r="L9" s="2">
        <f t="shared" si="4"/>
        <v>36669.51431</v>
      </c>
      <c r="M9" s="53">
        <f t="shared" si="5"/>
        <v>575.59</v>
      </c>
      <c r="N9" s="21">
        <f t="shared" si="6"/>
        <v>63.707698726524086</v>
      </c>
      <c r="O9" s="85">
        <v>145.991</v>
      </c>
      <c r="P9" s="20">
        <f t="shared" si="7"/>
        <v>153.92907675102555</v>
      </c>
      <c r="Q9" s="65"/>
      <c r="R9" s="169">
        <f t="shared" si="8"/>
        <v>119.02800000000002</v>
      </c>
      <c r="S9" s="58">
        <v>5514.4</v>
      </c>
      <c r="T9" s="1">
        <f t="shared" si="9"/>
        <v>125059.14876000003</v>
      </c>
      <c r="U9" s="4">
        <f t="shared" si="10"/>
        <v>22.678650217612077</v>
      </c>
      <c r="V9" s="194">
        <f t="shared" si="11"/>
        <v>280.9789313052694</v>
      </c>
    </row>
    <row r="10" spans="1:22" ht="12.75">
      <c r="A10" s="61" t="s">
        <v>8</v>
      </c>
      <c r="B10" s="104">
        <v>380.93</v>
      </c>
      <c r="C10" s="59">
        <v>0</v>
      </c>
      <c r="D10" s="2">
        <f t="shared" si="0"/>
        <v>380.93</v>
      </c>
      <c r="E10" s="59"/>
      <c r="F10" s="20"/>
      <c r="G10" s="53">
        <v>20.241</v>
      </c>
      <c r="H10" s="80">
        <f t="shared" si="1"/>
        <v>5.25348177829385</v>
      </c>
      <c r="I10" s="80">
        <f t="shared" si="2"/>
        <v>0</v>
      </c>
      <c r="J10" s="65">
        <f t="shared" si="3"/>
        <v>25.49448177829385</v>
      </c>
      <c r="K10" s="145">
        <v>1050.67</v>
      </c>
      <c r="L10" s="2">
        <f t="shared" si="4"/>
        <v>26786.28717</v>
      </c>
      <c r="M10" s="53">
        <f t="shared" si="5"/>
        <v>380.93</v>
      </c>
      <c r="N10" s="21">
        <f t="shared" si="6"/>
        <v>70.31813501168193</v>
      </c>
      <c r="O10" s="85">
        <v>100.534</v>
      </c>
      <c r="P10" s="20">
        <f t="shared" si="7"/>
        <v>105.78748177829385</v>
      </c>
      <c r="Q10" s="65"/>
      <c r="R10" s="169">
        <f t="shared" si="8"/>
        <v>80.293</v>
      </c>
      <c r="S10" s="58">
        <v>3718.8</v>
      </c>
      <c r="T10" s="1">
        <f t="shared" si="9"/>
        <v>84361.44631000001</v>
      </c>
      <c r="U10" s="4">
        <f t="shared" si="10"/>
        <v>22.68512593040766</v>
      </c>
      <c r="V10" s="194">
        <f t="shared" si="11"/>
        <v>291.7799424566193</v>
      </c>
    </row>
    <row r="11" spans="1:22" ht="12.75">
      <c r="A11" s="61" t="s">
        <v>10</v>
      </c>
      <c r="B11" s="104">
        <v>467.411</v>
      </c>
      <c r="C11" s="59">
        <v>0</v>
      </c>
      <c r="D11" s="2">
        <f t="shared" si="0"/>
        <v>467.411</v>
      </c>
      <c r="E11" s="59"/>
      <c r="F11" s="20"/>
      <c r="G11" s="53">
        <v>28.21</v>
      </c>
      <c r="H11" s="80">
        <f t="shared" si="1"/>
        <v>6.446158536933575</v>
      </c>
      <c r="I11" s="80">
        <f t="shared" si="2"/>
        <v>0</v>
      </c>
      <c r="J11" s="65">
        <f t="shared" si="3"/>
        <v>34.656158536933575</v>
      </c>
      <c r="K11" s="145">
        <v>1050.67</v>
      </c>
      <c r="L11" s="2">
        <f t="shared" si="4"/>
        <v>36412.18609</v>
      </c>
      <c r="M11" s="53">
        <f t="shared" si="5"/>
        <v>467.411</v>
      </c>
      <c r="N11" s="21">
        <f t="shared" si="6"/>
        <v>77.90185958396359</v>
      </c>
      <c r="O11" s="85">
        <v>116.908</v>
      </c>
      <c r="P11" s="20">
        <f t="shared" si="7"/>
        <v>123.35415853693358</v>
      </c>
      <c r="Q11" s="65"/>
      <c r="R11" s="169">
        <f t="shared" si="8"/>
        <v>88.69800000000001</v>
      </c>
      <c r="S11" s="58">
        <v>5981.3</v>
      </c>
      <c r="T11" s="1">
        <f t="shared" si="9"/>
        <v>93192.32766000001</v>
      </c>
      <c r="U11" s="4">
        <f t="shared" si="10"/>
        <v>15.580614190894957</v>
      </c>
      <c r="V11" s="194">
        <f t="shared" si="11"/>
        <v>277.28169373420826</v>
      </c>
    </row>
    <row r="12" spans="1:22" ht="12.75">
      <c r="A12" s="61" t="s">
        <v>11</v>
      </c>
      <c r="B12" s="104">
        <v>310.258</v>
      </c>
      <c r="C12" s="59">
        <v>0</v>
      </c>
      <c r="D12" s="2">
        <f t="shared" si="0"/>
        <v>310.258</v>
      </c>
      <c r="E12" s="67"/>
      <c r="F12" s="20"/>
      <c r="G12" s="53">
        <v>18.643</v>
      </c>
      <c r="H12" s="80">
        <f t="shared" si="1"/>
        <v>4.27883009888928</v>
      </c>
      <c r="I12" s="80">
        <f t="shared" si="2"/>
        <v>0</v>
      </c>
      <c r="J12" s="65">
        <f t="shared" si="3"/>
        <v>22.92183009888928</v>
      </c>
      <c r="K12" s="145">
        <v>1050.67</v>
      </c>
      <c r="L12" s="2">
        <f t="shared" si="4"/>
        <v>24083.279230000004</v>
      </c>
      <c r="M12" s="53">
        <f t="shared" si="5"/>
        <v>310.258</v>
      </c>
      <c r="N12" s="21">
        <f t="shared" si="6"/>
        <v>77.62339481979515</v>
      </c>
      <c r="O12" s="85">
        <v>88.841</v>
      </c>
      <c r="P12" s="20">
        <f t="shared" si="7"/>
        <v>93.11983009888928</v>
      </c>
      <c r="Q12" s="65"/>
      <c r="R12" s="169">
        <f t="shared" si="8"/>
        <v>70.19800000000001</v>
      </c>
      <c r="S12" s="58">
        <v>3323</v>
      </c>
      <c r="T12" s="1">
        <f t="shared" si="9"/>
        <v>73754.93266</v>
      </c>
      <c r="U12" s="4">
        <f t="shared" si="10"/>
        <v>22.195285182064403</v>
      </c>
      <c r="V12" s="194">
        <f t="shared" si="11"/>
        <v>315.344686970199</v>
      </c>
    </row>
    <row r="13" spans="1:22" ht="12.75">
      <c r="A13" s="61" t="s">
        <v>12</v>
      </c>
      <c r="B13" s="104">
        <v>887.677</v>
      </c>
      <c r="C13" s="59">
        <v>0</v>
      </c>
      <c r="D13" s="2">
        <f t="shared" si="0"/>
        <v>887.677</v>
      </c>
      <c r="E13" s="103"/>
      <c r="F13" s="20"/>
      <c r="G13" s="53">
        <v>29.439</v>
      </c>
      <c r="H13" s="80">
        <f t="shared" si="1"/>
        <v>12.242130954533772</v>
      </c>
      <c r="I13" s="80">
        <f t="shared" si="2"/>
        <v>0</v>
      </c>
      <c r="J13" s="65">
        <f t="shared" si="3"/>
        <v>41.68113095453377</v>
      </c>
      <c r="K13" s="145">
        <v>1050.67</v>
      </c>
      <c r="L13" s="2">
        <f t="shared" si="4"/>
        <v>43793.11386</v>
      </c>
      <c r="M13" s="53">
        <f t="shared" si="5"/>
        <v>887.677</v>
      </c>
      <c r="N13" s="21">
        <f t="shared" si="6"/>
        <v>49.33451453625587</v>
      </c>
      <c r="O13" s="85">
        <v>142.176</v>
      </c>
      <c r="P13" s="20">
        <f t="shared" si="7"/>
        <v>154.41813095453375</v>
      </c>
      <c r="Q13" s="65"/>
      <c r="R13" s="169">
        <f t="shared" si="8"/>
        <v>112.73699999999998</v>
      </c>
      <c r="S13" s="58">
        <v>6355.1</v>
      </c>
      <c r="T13" s="1">
        <f t="shared" si="9"/>
        <v>118449.38378999999</v>
      </c>
      <c r="U13" s="4">
        <f t="shared" si="10"/>
        <v>18.63847678085317</v>
      </c>
      <c r="V13" s="194">
        <f t="shared" si="11"/>
        <v>182.7719966271515</v>
      </c>
    </row>
    <row r="14" spans="1:23" s="98" customFormat="1" ht="12.75">
      <c r="A14" s="61" t="s">
        <v>13</v>
      </c>
      <c r="B14" s="104">
        <v>734.368</v>
      </c>
      <c r="C14" s="59">
        <v>0</v>
      </c>
      <c r="D14" s="2">
        <f t="shared" si="0"/>
        <v>734.368</v>
      </c>
      <c r="E14" s="67"/>
      <c r="F14" s="20"/>
      <c r="G14" s="53">
        <v>45.549</v>
      </c>
      <c r="H14" s="80">
        <f t="shared" si="1"/>
        <v>10.127815888908982</v>
      </c>
      <c r="I14" s="80">
        <f t="shared" si="2"/>
        <v>0</v>
      </c>
      <c r="J14" s="65">
        <f t="shared" si="3"/>
        <v>55.67681588890898</v>
      </c>
      <c r="K14" s="145">
        <v>1050.67</v>
      </c>
      <c r="L14" s="2">
        <f t="shared" si="4"/>
        <v>58497.960150000006</v>
      </c>
      <c r="M14" s="53">
        <f t="shared" si="5"/>
        <v>734.368</v>
      </c>
      <c r="N14" s="21">
        <f t="shared" si="6"/>
        <v>79.65755608904527</v>
      </c>
      <c r="O14" s="85">
        <v>150.51</v>
      </c>
      <c r="P14" s="20">
        <f t="shared" si="7"/>
        <v>160.63781588890896</v>
      </c>
      <c r="Q14" s="65"/>
      <c r="R14" s="169">
        <f t="shared" si="8"/>
        <v>104.96099999999998</v>
      </c>
      <c r="S14" s="96">
        <v>4183.8</v>
      </c>
      <c r="T14" s="1">
        <f t="shared" si="9"/>
        <v>110279.37387</v>
      </c>
      <c r="U14" s="25">
        <f t="shared" si="10"/>
        <v>26.358662906926714</v>
      </c>
      <c r="V14" s="194">
        <f t="shared" si="11"/>
        <v>229.82664552377005</v>
      </c>
      <c r="W14"/>
    </row>
    <row r="15" spans="1:22" ht="12.75">
      <c r="A15" s="61" t="s">
        <v>14</v>
      </c>
      <c r="B15" s="104">
        <v>412.675</v>
      </c>
      <c r="C15" s="59">
        <v>0</v>
      </c>
      <c r="D15" s="2">
        <f t="shared" si="0"/>
        <v>412.675</v>
      </c>
      <c r="E15" s="103"/>
      <c r="F15" s="20"/>
      <c r="G15" s="53">
        <v>17.147</v>
      </c>
      <c r="H15" s="80">
        <f t="shared" si="1"/>
        <v>5.691283419151588</v>
      </c>
      <c r="I15" s="80">
        <f t="shared" si="2"/>
        <v>0</v>
      </c>
      <c r="J15" s="65">
        <f t="shared" si="3"/>
        <v>22.838283419151587</v>
      </c>
      <c r="K15" s="145">
        <v>1050.67</v>
      </c>
      <c r="L15" s="2">
        <f t="shared" si="4"/>
        <v>23995.49924</v>
      </c>
      <c r="M15" s="53">
        <f t="shared" si="5"/>
        <v>412.675</v>
      </c>
      <c r="N15" s="21">
        <f t="shared" si="6"/>
        <v>58.14623914702853</v>
      </c>
      <c r="O15" s="85">
        <v>100.546</v>
      </c>
      <c r="P15" s="20">
        <f t="shared" si="7"/>
        <v>106.2372834191516</v>
      </c>
      <c r="Q15" s="65"/>
      <c r="R15" s="169">
        <f t="shared" si="8"/>
        <v>83.399</v>
      </c>
      <c r="S15" s="58">
        <v>3908.1</v>
      </c>
      <c r="T15" s="1">
        <f t="shared" si="9"/>
        <v>87624.82733</v>
      </c>
      <c r="U15" s="4">
        <f t="shared" si="10"/>
        <v>22.42133705125253</v>
      </c>
      <c r="V15" s="194">
        <f t="shared" si="11"/>
        <v>270.4799819955171</v>
      </c>
    </row>
    <row r="16" spans="1:22" ht="12.75">
      <c r="A16" s="61" t="s">
        <v>15</v>
      </c>
      <c r="B16" s="104">
        <v>414.922</v>
      </c>
      <c r="C16" s="59">
        <v>0</v>
      </c>
      <c r="D16" s="2">
        <f t="shared" si="0"/>
        <v>414.922</v>
      </c>
      <c r="E16" s="67"/>
      <c r="F16" s="20"/>
      <c r="G16" s="53">
        <v>24.886</v>
      </c>
      <c r="H16" s="80">
        <f t="shared" si="1"/>
        <v>5.722272245329171</v>
      </c>
      <c r="I16" s="80">
        <f t="shared" si="2"/>
        <v>0</v>
      </c>
      <c r="J16" s="65">
        <f t="shared" si="3"/>
        <v>30.608272245329168</v>
      </c>
      <c r="K16" s="145">
        <v>1050.67</v>
      </c>
      <c r="L16" s="2">
        <f t="shared" si="4"/>
        <v>32159.1934</v>
      </c>
      <c r="M16" s="53">
        <f t="shared" si="5"/>
        <v>414.922</v>
      </c>
      <c r="N16" s="21">
        <f t="shared" si="6"/>
        <v>77.50659979466019</v>
      </c>
      <c r="O16" s="85">
        <v>166.039</v>
      </c>
      <c r="P16" s="20">
        <f t="shared" si="7"/>
        <v>171.76127224532917</v>
      </c>
      <c r="Q16" s="65"/>
      <c r="R16" s="169">
        <f t="shared" si="8"/>
        <v>141.153</v>
      </c>
      <c r="S16" s="58">
        <v>5485.5</v>
      </c>
      <c r="T16" s="1">
        <f t="shared" si="9"/>
        <v>148305.22251</v>
      </c>
      <c r="U16" s="4">
        <f t="shared" si="10"/>
        <v>27.03586227508887</v>
      </c>
      <c r="V16" s="194">
        <f t="shared" si="11"/>
        <v>434.9357612033105</v>
      </c>
    </row>
    <row r="17" spans="1:22" ht="12.75">
      <c r="A17" s="61" t="s">
        <v>16</v>
      </c>
      <c r="B17" s="104">
        <v>524.204</v>
      </c>
      <c r="C17" s="59">
        <v>0</v>
      </c>
      <c r="D17" s="2">
        <f t="shared" si="0"/>
        <v>524.204</v>
      </c>
      <c r="E17" s="67"/>
      <c r="F17" s="20"/>
      <c r="G17" s="53">
        <v>27.898</v>
      </c>
      <c r="H17" s="80">
        <f t="shared" si="1"/>
        <v>7.22940215291195</v>
      </c>
      <c r="I17" s="80">
        <f t="shared" si="2"/>
        <v>0</v>
      </c>
      <c r="J17" s="65">
        <f t="shared" si="3"/>
        <v>35.12740215291195</v>
      </c>
      <c r="K17" s="145">
        <v>1050.67</v>
      </c>
      <c r="L17" s="2">
        <f t="shared" si="4"/>
        <v>36907.30762</v>
      </c>
      <c r="M17" s="53">
        <f t="shared" si="5"/>
        <v>524.204</v>
      </c>
      <c r="N17" s="21">
        <f t="shared" si="6"/>
        <v>70.40638304934721</v>
      </c>
      <c r="O17" s="85">
        <v>126.703</v>
      </c>
      <c r="P17" s="20">
        <f t="shared" si="7"/>
        <v>133.93240215291195</v>
      </c>
      <c r="Q17" s="65"/>
      <c r="R17" s="169">
        <f t="shared" si="8"/>
        <v>98.805</v>
      </c>
      <c r="S17" s="58">
        <v>4673.4</v>
      </c>
      <c r="T17" s="1">
        <f t="shared" si="9"/>
        <v>103811.44935000001</v>
      </c>
      <c r="U17" s="4">
        <f t="shared" si="10"/>
        <v>22.213260014122483</v>
      </c>
      <c r="V17" s="194">
        <f t="shared" si="11"/>
        <v>268.44273788448777</v>
      </c>
    </row>
    <row r="18" spans="1:22" s="133" customFormat="1" ht="15.75" customHeight="1">
      <c r="A18" s="122" t="s">
        <v>153</v>
      </c>
      <c r="B18" s="123"/>
      <c r="C18" s="122"/>
      <c r="D18" s="122"/>
      <c r="E18" s="124"/>
      <c r="F18" s="125"/>
      <c r="G18" s="125"/>
      <c r="H18" s="125"/>
      <c r="I18" s="125"/>
      <c r="J18" s="126"/>
      <c r="K18" s="146"/>
      <c r="L18" s="122"/>
      <c r="M18" s="127"/>
      <c r="N18" s="197"/>
      <c r="O18" s="127"/>
      <c r="P18" s="125"/>
      <c r="Q18" s="126"/>
      <c r="R18" s="129"/>
      <c r="S18" s="130"/>
      <c r="T18" s="130"/>
      <c r="U18" s="131"/>
      <c r="V18" s="192"/>
    </row>
    <row r="19" spans="1:22" ht="12.75">
      <c r="A19" s="147" t="s">
        <v>0</v>
      </c>
      <c r="B19" s="85">
        <v>507.782</v>
      </c>
      <c r="C19" s="59">
        <v>230</v>
      </c>
      <c r="D19" s="41">
        <f aca="true" t="shared" si="12" ref="D19:D27">B19+C19</f>
        <v>737.7819999999999</v>
      </c>
      <c r="E19" s="67">
        <v>0.0595</v>
      </c>
      <c r="F19" s="117">
        <f aca="true" t="shared" si="13" ref="F19:F27">D19*E19</f>
        <v>43.898028999999994</v>
      </c>
      <c r="G19" s="117"/>
      <c r="H19" s="80">
        <f>B19*14.49/1050.67</f>
        <v>7.0029230681374735</v>
      </c>
      <c r="I19" s="80">
        <f aca="true" t="shared" si="14" ref="I19:I27">C19*13.98/1050.67</f>
        <v>3.06033293041583</v>
      </c>
      <c r="J19" s="118">
        <f aca="true" t="shared" si="15" ref="J19:J25">F19+H19+I19</f>
        <v>53.9612849985533</v>
      </c>
      <c r="K19" s="145">
        <v>1050.67</v>
      </c>
      <c r="L19" s="41">
        <f aca="true" t="shared" si="16" ref="L19:L27">J19*K19</f>
        <v>56695.50330943</v>
      </c>
      <c r="M19" s="54">
        <f aca="true" t="shared" si="17" ref="M19:M27">D19</f>
        <v>737.7819999999999</v>
      </c>
      <c r="N19" s="172">
        <f aca="true" t="shared" si="18" ref="N19:N27">L19/M19</f>
        <v>76.84587494602742</v>
      </c>
      <c r="O19" s="85">
        <v>187.09</v>
      </c>
      <c r="P19" s="117">
        <f aca="true" t="shared" si="19" ref="P19:P27">H19+I19+O19</f>
        <v>197.1532559985533</v>
      </c>
      <c r="Q19" s="190">
        <f aca="true" t="shared" si="20" ref="Q19:Q27">P19-J19</f>
        <v>143.191971</v>
      </c>
      <c r="R19" s="120"/>
      <c r="S19" s="58">
        <v>9290.5</v>
      </c>
      <c r="T19" s="24">
        <f aca="true" t="shared" si="21" ref="T19:T27">Q19*K19</f>
        <v>150447.50817057</v>
      </c>
      <c r="U19" s="121">
        <f aca="true" t="shared" si="22" ref="U19:U27">T19/S19</f>
        <v>16.193693361021474</v>
      </c>
      <c r="V19" s="194">
        <f aca="true" t="shared" si="23" ref="V19:V28">P19*K19/D19</f>
        <v>280.7645232331502</v>
      </c>
    </row>
    <row r="20" spans="1:22" ht="12.75">
      <c r="A20" s="147" t="s">
        <v>1</v>
      </c>
      <c r="B20" s="85">
        <v>37.907</v>
      </c>
      <c r="C20" s="59">
        <v>1082</v>
      </c>
      <c r="D20" s="41">
        <f t="shared" si="12"/>
        <v>1119.907</v>
      </c>
      <c r="E20" s="67">
        <v>0.057</v>
      </c>
      <c r="F20" s="117">
        <f t="shared" si="13"/>
        <v>63.834699</v>
      </c>
      <c r="G20" s="117"/>
      <c r="H20" s="80">
        <f>B20*14.49/1050.67</f>
        <v>0.5227830146477961</v>
      </c>
      <c r="I20" s="80">
        <f t="shared" si="14"/>
        <v>14.396870568304035</v>
      </c>
      <c r="J20" s="118">
        <f t="shared" si="15"/>
        <v>78.75435258295184</v>
      </c>
      <c r="K20" s="145">
        <v>1050.67</v>
      </c>
      <c r="L20" s="41">
        <f t="shared" si="16"/>
        <v>82744.83562833001</v>
      </c>
      <c r="M20" s="54">
        <f t="shared" si="17"/>
        <v>1119.907</v>
      </c>
      <c r="N20" s="172">
        <f t="shared" si="18"/>
        <v>73.88545265663133</v>
      </c>
      <c r="O20" s="85">
        <v>229.795</v>
      </c>
      <c r="P20" s="117">
        <f t="shared" si="19"/>
        <v>244.71465358295183</v>
      </c>
      <c r="Q20" s="190">
        <f t="shared" si="20"/>
        <v>165.960301</v>
      </c>
      <c r="R20" s="120"/>
      <c r="S20" s="58">
        <v>9725.3</v>
      </c>
      <c r="T20" s="24">
        <f t="shared" si="21"/>
        <v>174369.50945167</v>
      </c>
      <c r="U20" s="121">
        <f t="shared" si="22"/>
        <v>17.929473584534154</v>
      </c>
      <c r="V20" s="194">
        <f t="shared" si="23"/>
        <v>229.58544332699057</v>
      </c>
    </row>
    <row r="21" spans="1:22" ht="12.75">
      <c r="A21" s="147" t="s">
        <v>2</v>
      </c>
      <c r="B21" s="85">
        <v>17.476</v>
      </c>
      <c r="C21" s="59">
        <v>537</v>
      </c>
      <c r="D21" s="41">
        <f t="shared" si="12"/>
        <v>554.476</v>
      </c>
      <c r="E21" s="67">
        <v>0.0581</v>
      </c>
      <c r="F21" s="117">
        <f t="shared" si="13"/>
        <v>32.2150556</v>
      </c>
      <c r="G21" s="117"/>
      <c r="H21" s="80">
        <f>B21*14.49/1050.67</f>
        <v>0.2410150094701476</v>
      </c>
      <c r="I21" s="80">
        <f t="shared" si="14"/>
        <v>7.145212102753481</v>
      </c>
      <c r="J21" s="118">
        <f t="shared" si="15"/>
        <v>39.60128271222363</v>
      </c>
      <c r="K21" s="145">
        <v>1050.67</v>
      </c>
      <c r="L21" s="41">
        <f t="shared" si="16"/>
        <v>41607.879707252</v>
      </c>
      <c r="M21" s="54">
        <f t="shared" si="17"/>
        <v>554.476</v>
      </c>
      <c r="N21" s="172">
        <f t="shared" si="18"/>
        <v>75.04000120339204</v>
      </c>
      <c r="O21" s="85">
        <v>155.21</v>
      </c>
      <c r="P21" s="117">
        <f t="shared" si="19"/>
        <v>162.59622711222363</v>
      </c>
      <c r="Q21" s="190">
        <f t="shared" si="20"/>
        <v>122.99494440000001</v>
      </c>
      <c r="R21" s="120"/>
      <c r="S21" s="58">
        <v>6610</v>
      </c>
      <c r="T21" s="24">
        <f t="shared" si="21"/>
        <v>129227.09823274802</v>
      </c>
      <c r="U21" s="121">
        <f t="shared" si="22"/>
        <v>19.550241790128293</v>
      </c>
      <c r="V21" s="194">
        <f t="shared" si="23"/>
        <v>308.1016634444052</v>
      </c>
    </row>
    <row r="22" spans="1:22" ht="12.75">
      <c r="A22" s="147" t="s">
        <v>6</v>
      </c>
      <c r="B22" s="85">
        <v>361.641</v>
      </c>
      <c r="C22" s="59">
        <v>0</v>
      </c>
      <c r="D22" s="41">
        <f t="shared" si="12"/>
        <v>361.641</v>
      </c>
      <c r="E22" s="67">
        <v>0.0601</v>
      </c>
      <c r="F22" s="117">
        <f t="shared" si="13"/>
        <v>21.7346241</v>
      </c>
      <c r="G22" s="117"/>
      <c r="H22" s="80">
        <f>B22*14.49/1050.67</f>
        <v>4.987463323403162</v>
      </c>
      <c r="I22" s="80">
        <f t="shared" si="14"/>
        <v>0</v>
      </c>
      <c r="J22" s="118">
        <f t="shared" si="15"/>
        <v>26.722087423403163</v>
      </c>
      <c r="K22" s="145">
        <v>1050.67</v>
      </c>
      <c r="L22" s="41">
        <f t="shared" si="16"/>
        <v>28076.095593147005</v>
      </c>
      <c r="M22" s="54">
        <f t="shared" si="17"/>
        <v>361.641</v>
      </c>
      <c r="N22" s="172">
        <f t="shared" si="18"/>
        <v>77.63526700000001</v>
      </c>
      <c r="O22" s="85">
        <v>147.907</v>
      </c>
      <c r="P22" s="117">
        <f t="shared" si="19"/>
        <v>152.89446332340316</v>
      </c>
      <c r="Q22" s="190">
        <f t="shared" si="20"/>
        <v>126.17237589999999</v>
      </c>
      <c r="R22" s="120"/>
      <c r="S22" s="58">
        <v>7253</v>
      </c>
      <c r="T22" s="24">
        <f t="shared" si="21"/>
        <v>132565.530186853</v>
      </c>
      <c r="U22" s="121">
        <f t="shared" si="22"/>
        <v>18.277337679146974</v>
      </c>
      <c r="V22" s="194">
        <f t="shared" si="23"/>
        <v>444.2019178688257</v>
      </c>
    </row>
    <row r="23" spans="1:22" ht="12.75">
      <c r="A23" s="148" t="s">
        <v>7</v>
      </c>
      <c r="B23" s="85">
        <v>0.959</v>
      </c>
      <c r="C23" s="59">
        <v>0</v>
      </c>
      <c r="D23" s="41">
        <f t="shared" si="12"/>
        <v>0.959</v>
      </c>
      <c r="E23" s="67">
        <v>0.0563</v>
      </c>
      <c r="F23" s="117">
        <f t="shared" si="13"/>
        <v>0.053991700000000004</v>
      </c>
      <c r="G23" s="117"/>
      <c r="H23" s="80">
        <f>B23*14.49/1348.12</f>
        <v>0.010307620983295256</v>
      </c>
      <c r="I23" s="80">
        <f t="shared" si="14"/>
        <v>0</v>
      </c>
      <c r="J23" s="118">
        <f t="shared" si="15"/>
        <v>0.06429932098329526</v>
      </c>
      <c r="K23" s="145">
        <f>1348.12*118%</f>
        <v>1590.7815999999998</v>
      </c>
      <c r="L23" s="41">
        <f t="shared" si="16"/>
        <v>102.28617671271999</v>
      </c>
      <c r="M23" s="54">
        <f t="shared" si="17"/>
        <v>0.959</v>
      </c>
      <c r="N23" s="172">
        <f t="shared" si="18"/>
        <v>106.65920408</v>
      </c>
      <c r="O23" s="85">
        <v>16.823</v>
      </c>
      <c r="P23" s="117">
        <f t="shared" si="19"/>
        <v>16.833307620983295</v>
      </c>
      <c r="Q23" s="190">
        <f t="shared" si="20"/>
        <v>16.7690083</v>
      </c>
      <c r="R23" s="120"/>
      <c r="S23" s="58">
        <v>760.9</v>
      </c>
      <c r="T23" s="24">
        <f t="shared" si="21"/>
        <v>26675.829853887277</v>
      </c>
      <c r="U23" s="121">
        <f t="shared" si="22"/>
        <v>35.05825976328989</v>
      </c>
      <c r="V23" s="194">
        <f t="shared" si="23"/>
        <v>27922.957279040664</v>
      </c>
    </row>
    <row r="24" spans="1:22" ht="12.75">
      <c r="A24" s="147" t="s">
        <v>9</v>
      </c>
      <c r="B24" s="85">
        <v>551.964</v>
      </c>
      <c r="C24" s="59">
        <v>0</v>
      </c>
      <c r="D24" s="41">
        <f t="shared" si="12"/>
        <v>551.964</v>
      </c>
      <c r="E24" s="67">
        <v>0.0599</v>
      </c>
      <c r="F24" s="117">
        <f t="shared" si="13"/>
        <v>33.0626436</v>
      </c>
      <c r="G24" s="117"/>
      <c r="H24" s="80">
        <f>B24*14.49/1050.67</f>
        <v>7.6122458621641425</v>
      </c>
      <c r="I24" s="80">
        <f t="shared" si="14"/>
        <v>0</v>
      </c>
      <c r="J24" s="118">
        <f t="shared" si="15"/>
        <v>40.674889462164145</v>
      </c>
      <c r="K24" s="145">
        <v>1050.67</v>
      </c>
      <c r="L24" s="41">
        <f t="shared" si="16"/>
        <v>42735.88611121201</v>
      </c>
      <c r="M24" s="54">
        <f t="shared" si="17"/>
        <v>551.964</v>
      </c>
      <c r="N24" s="172">
        <f t="shared" si="18"/>
        <v>77.425133</v>
      </c>
      <c r="O24" s="85">
        <v>233.364</v>
      </c>
      <c r="P24" s="117">
        <f t="shared" si="19"/>
        <v>240.97624586216415</v>
      </c>
      <c r="Q24" s="190">
        <f t="shared" si="20"/>
        <v>200.3013564</v>
      </c>
      <c r="R24" s="120"/>
      <c r="S24" s="58">
        <v>9274.6</v>
      </c>
      <c r="T24" s="24">
        <f t="shared" si="21"/>
        <v>210450.62612878802</v>
      </c>
      <c r="U24" s="121">
        <f t="shared" si="22"/>
        <v>22.691073052076426</v>
      </c>
      <c r="V24" s="194">
        <f t="shared" si="23"/>
        <v>458.7011331173772</v>
      </c>
    </row>
    <row r="25" spans="1:22" ht="12.75">
      <c r="A25" s="147" t="s">
        <v>42</v>
      </c>
      <c r="B25" s="85">
        <v>0</v>
      </c>
      <c r="C25" s="59">
        <v>350</v>
      </c>
      <c r="D25" s="41">
        <f t="shared" si="12"/>
        <v>350</v>
      </c>
      <c r="E25" s="67">
        <v>0.0595</v>
      </c>
      <c r="F25" s="117">
        <f t="shared" si="13"/>
        <v>20.825</v>
      </c>
      <c r="G25" s="117"/>
      <c r="H25" s="80">
        <f>B25*14.49/1050.67</f>
        <v>0</v>
      </c>
      <c r="I25" s="80">
        <f t="shared" si="14"/>
        <v>4.657028372371915</v>
      </c>
      <c r="J25" s="118">
        <f t="shared" si="15"/>
        <v>25.482028372371914</v>
      </c>
      <c r="K25" s="145">
        <v>1050.67</v>
      </c>
      <c r="L25" s="41">
        <f t="shared" si="16"/>
        <v>26773.20275</v>
      </c>
      <c r="M25" s="54">
        <f t="shared" si="17"/>
        <v>350</v>
      </c>
      <c r="N25" s="172">
        <f t="shared" si="18"/>
        <v>76.494865</v>
      </c>
      <c r="O25" s="85">
        <v>113.08</v>
      </c>
      <c r="P25" s="117">
        <f t="shared" si="19"/>
        <v>117.73702837237191</v>
      </c>
      <c r="Q25" s="190">
        <f t="shared" si="20"/>
        <v>92.255</v>
      </c>
      <c r="R25" s="120"/>
      <c r="S25" s="58">
        <v>6616.4</v>
      </c>
      <c r="T25" s="24">
        <f t="shared" si="21"/>
        <v>96929.56085000001</v>
      </c>
      <c r="U25" s="121">
        <f t="shared" si="22"/>
        <v>14.649894330753886</v>
      </c>
      <c r="V25" s="194">
        <f t="shared" si="23"/>
        <v>353.43646742857146</v>
      </c>
    </row>
    <row r="26" spans="1:22" ht="12.75">
      <c r="A26" s="147" t="s">
        <v>97</v>
      </c>
      <c r="B26" s="85">
        <v>37.507</v>
      </c>
      <c r="C26" s="59">
        <v>80</v>
      </c>
      <c r="D26" s="41">
        <f t="shared" si="12"/>
        <v>117.507</v>
      </c>
      <c r="E26" s="67">
        <v>0.0619</v>
      </c>
      <c r="F26" s="117">
        <f t="shared" si="13"/>
        <v>7.2736833</v>
      </c>
      <c r="G26" s="117"/>
      <c r="H26" s="80">
        <f>B26*14.49/1050.67</f>
        <v>0.5172665346873898</v>
      </c>
      <c r="I26" s="80">
        <f t="shared" si="14"/>
        <v>1.0644636279707234</v>
      </c>
      <c r="J26" s="118">
        <f>F26+H26+I26</f>
        <v>8.855413462658113</v>
      </c>
      <c r="K26" s="145">
        <v>1050.67</v>
      </c>
      <c r="L26" s="41">
        <f t="shared" si="16"/>
        <v>9304.117262811</v>
      </c>
      <c r="M26" s="54">
        <f t="shared" si="17"/>
        <v>117.507</v>
      </c>
      <c r="N26" s="172">
        <f t="shared" si="18"/>
        <v>79.17925964249788</v>
      </c>
      <c r="O26" s="85">
        <v>55</v>
      </c>
      <c r="P26" s="117">
        <f t="shared" si="19"/>
        <v>56.58173016265811</v>
      </c>
      <c r="Q26" s="190">
        <f t="shared" si="20"/>
        <v>47.7263167</v>
      </c>
      <c r="R26" s="120"/>
      <c r="S26" s="58">
        <v>2905.2</v>
      </c>
      <c r="T26" s="24">
        <f t="shared" si="21"/>
        <v>50144.609167189</v>
      </c>
      <c r="U26" s="121">
        <f t="shared" si="22"/>
        <v>17.260295045845037</v>
      </c>
      <c r="V26" s="194">
        <f t="shared" si="23"/>
        <v>505.9164682104045</v>
      </c>
    </row>
    <row r="27" spans="1:22" ht="12.75">
      <c r="A27" s="147" t="s">
        <v>49</v>
      </c>
      <c r="B27" s="85">
        <v>326.757</v>
      </c>
      <c r="C27" s="59">
        <v>0</v>
      </c>
      <c r="D27" s="41">
        <f t="shared" si="12"/>
        <v>326.757</v>
      </c>
      <c r="E27" s="67">
        <v>0.0584</v>
      </c>
      <c r="F27" s="117">
        <f t="shared" si="13"/>
        <v>19.0826088</v>
      </c>
      <c r="G27" s="54"/>
      <c r="H27" s="80">
        <f>B27*14.49/1050.67</f>
        <v>4.506371106056135</v>
      </c>
      <c r="I27" s="80">
        <f t="shared" si="14"/>
        <v>0</v>
      </c>
      <c r="J27" s="118">
        <f>F27+H27</f>
        <v>23.588979906056135</v>
      </c>
      <c r="K27" s="145">
        <v>1050.67</v>
      </c>
      <c r="L27" s="41">
        <f t="shared" si="16"/>
        <v>24784.233517896002</v>
      </c>
      <c r="M27" s="54">
        <f t="shared" si="17"/>
        <v>326.757</v>
      </c>
      <c r="N27" s="172">
        <f t="shared" si="18"/>
        <v>75.84912800000001</v>
      </c>
      <c r="O27" s="85">
        <v>23.283</v>
      </c>
      <c r="P27" s="117">
        <f t="shared" si="19"/>
        <v>27.789371106056137</v>
      </c>
      <c r="Q27" s="190">
        <f t="shared" si="20"/>
        <v>4.200391200000002</v>
      </c>
      <c r="R27" s="120"/>
      <c r="S27" s="58">
        <v>663.9</v>
      </c>
      <c r="T27" s="24">
        <f t="shared" si="21"/>
        <v>4413.225022104002</v>
      </c>
      <c r="U27" s="121">
        <f t="shared" si="22"/>
        <v>6.647424344184369</v>
      </c>
      <c r="V27" s="194">
        <f t="shared" si="23"/>
        <v>89.35526565612979</v>
      </c>
    </row>
    <row r="28" spans="1:22" ht="12.75">
      <c r="A28" s="73" t="s">
        <v>17</v>
      </c>
      <c r="B28" s="141">
        <f aca="true" t="shared" si="24" ref="B28:J28">SUM(B7:B27)</f>
        <v>7061.221999999998</v>
      </c>
      <c r="C28" s="154">
        <f t="shared" si="24"/>
        <v>2279</v>
      </c>
      <c r="D28" s="154">
        <f t="shared" si="24"/>
        <v>9340.221999999998</v>
      </c>
      <c r="E28" s="154">
        <f t="shared" si="24"/>
        <v>0.5307</v>
      </c>
      <c r="F28" s="154">
        <f t="shared" si="24"/>
        <v>241.98033509999996</v>
      </c>
      <c r="G28" s="154">
        <f t="shared" si="24"/>
        <v>269.80400000000003</v>
      </c>
      <c r="H28" s="154">
        <f t="shared" si="24"/>
        <v>97.379806007727</v>
      </c>
      <c r="I28" s="154">
        <f t="shared" si="24"/>
        <v>30.323907601815986</v>
      </c>
      <c r="J28" s="154">
        <f t="shared" si="24"/>
        <v>639.488048709543</v>
      </c>
      <c r="K28" s="154">
        <v>1050.67</v>
      </c>
      <c r="L28" s="154">
        <f>SUM(L7:L27)</f>
        <v>671925.6369467909</v>
      </c>
      <c r="M28" s="154">
        <f>SUM(M7:M27)</f>
        <v>9340.221999999998</v>
      </c>
      <c r="N28" s="154"/>
      <c r="O28" s="154">
        <f aca="true" t="shared" si="25" ref="O28:T28">SUM(O7:O27)</f>
        <v>2588.776</v>
      </c>
      <c r="P28" s="154">
        <f t="shared" si="25"/>
        <v>2716.479713609542</v>
      </c>
      <c r="Q28" s="154">
        <f t="shared" si="25"/>
        <v>919.5716649</v>
      </c>
      <c r="R28" s="154">
        <f t="shared" si="25"/>
        <v>1157.42</v>
      </c>
      <c r="S28" s="154">
        <f t="shared" si="25"/>
        <v>108576.79999999999</v>
      </c>
      <c r="T28" s="154">
        <f t="shared" si="25"/>
        <v>2191289.968463809</v>
      </c>
      <c r="U28" s="154"/>
      <c r="V28" s="195">
        <f t="shared" si="23"/>
        <v>305.5734371943342</v>
      </c>
    </row>
    <row r="29" ht="15.75" customHeight="1"/>
    <row r="30" spans="1:22" ht="25.5" customHeight="1">
      <c r="A30" s="252" t="s">
        <v>116</v>
      </c>
      <c r="B30" s="270" t="s">
        <v>154</v>
      </c>
      <c r="C30" s="270" t="s">
        <v>127</v>
      </c>
      <c r="D30" s="272" t="s">
        <v>104</v>
      </c>
      <c r="E30" s="270" t="s">
        <v>100</v>
      </c>
      <c r="F30" s="272" t="s">
        <v>128</v>
      </c>
      <c r="G30" s="272" t="s">
        <v>145</v>
      </c>
      <c r="H30" s="268" t="s">
        <v>140</v>
      </c>
      <c r="I30" s="268" t="s">
        <v>131</v>
      </c>
      <c r="J30" s="276" t="s">
        <v>132</v>
      </c>
      <c r="K30" s="278" t="s">
        <v>109</v>
      </c>
      <c r="L30" s="272" t="s">
        <v>124</v>
      </c>
      <c r="M30" s="272" t="s">
        <v>129</v>
      </c>
      <c r="N30" s="350" t="s">
        <v>125</v>
      </c>
      <c r="O30" s="270" t="s">
        <v>133</v>
      </c>
      <c r="P30" s="272" t="s">
        <v>142</v>
      </c>
      <c r="Q30" s="274" t="s">
        <v>135</v>
      </c>
      <c r="R30" s="274" t="s">
        <v>146</v>
      </c>
      <c r="S30" s="278" t="s">
        <v>123</v>
      </c>
      <c r="T30" s="266" t="s">
        <v>115</v>
      </c>
      <c r="U30" s="243" t="s">
        <v>117</v>
      </c>
      <c r="V30" s="334" t="s">
        <v>125</v>
      </c>
    </row>
    <row r="31" spans="1:24" ht="61.5" customHeight="1">
      <c r="A31" s="253"/>
      <c r="B31" s="271"/>
      <c r="C31" s="271"/>
      <c r="D31" s="273"/>
      <c r="E31" s="271"/>
      <c r="F31" s="273"/>
      <c r="G31" s="330"/>
      <c r="H31" s="242"/>
      <c r="I31" s="242"/>
      <c r="J31" s="277"/>
      <c r="K31" s="242"/>
      <c r="L31" s="273"/>
      <c r="M31" s="273"/>
      <c r="N31" s="351"/>
      <c r="O31" s="271"/>
      <c r="P31" s="273"/>
      <c r="Q31" s="275"/>
      <c r="R31" s="349"/>
      <c r="S31" s="242"/>
      <c r="T31" s="267"/>
      <c r="U31" s="240"/>
      <c r="V31" s="348"/>
      <c r="W31" s="137"/>
      <c r="X31" s="137"/>
    </row>
    <row r="32" spans="1:24" s="72" customFormat="1" ht="10.5" customHeight="1">
      <c r="A32" s="68"/>
      <c r="B32" s="69">
        <v>1</v>
      </c>
      <c r="C32" s="69">
        <v>2</v>
      </c>
      <c r="D32" s="69">
        <v>3</v>
      </c>
      <c r="E32" s="69">
        <v>4</v>
      </c>
      <c r="F32" s="149">
        <v>5</v>
      </c>
      <c r="G32" s="149"/>
      <c r="H32" s="69">
        <v>6</v>
      </c>
      <c r="I32" s="69">
        <v>7</v>
      </c>
      <c r="J32" s="69">
        <v>8</v>
      </c>
      <c r="K32" s="69">
        <v>9</v>
      </c>
      <c r="L32" s="69">
        <v>10</v>
      </c>
      <c r="M32" s="69">
        <v>11</v>
      </c>
      <c r="N32" s="108">
        <v>12</v>
      </c>
      <c r="O32" s="69">
        <v>13</v>
      </c>
      <c r="P32" s="69">
        <v>14</v>
      </c>
      <c r="Q32" s="69">
        <v>15</v>
      </c>
      <c r="R32" s="69"/>
      <c r="S32" s="69">
        <v>16</v>
      </c>
      <c r="T32" s="69">
        <v>17</v>
      </c>
      <c r="U32" s="69">
        <v>18</v>
      </c>
      <c r="V32" s="140">
        <v>19</v>
      </c>
      <c r="W32" s="138"/>
      <c r="X32" s="138"/>
    </row>
    <row r="33" spans="1:24" ht="12.75">
      <c r="A33" s="107" t="s">
        <v>147</v>
      </c>
      <c r="B33" s="85">
        <v>391.158</v>
      </c>
      <c r="C33" s="59">
        <v>0</v>
      </c>
      <c r="D33" s="41">
        <f>B33+C33</f>
        <v>391.158</v>
      </c>
      <c r="E33" s="67">
        <v>0.0561</v>
      </c>
      <c r="F33" s="117">
        <f>D33*E33</f>
        <v>21.9439638</v>
      </c>
      <c r="G33" s="117"/>
      <c r="H33" s="80">
        <f>B33*12.89/1199.03</f>
        <v>4.205087962769906</v>
      </c>
      <c r="I33" s="80"/>
      <c r="J33" s="118">
        <f>F33+H33+I33</f>
        <v>26.149051762769904</v>
      </c>
      <c r="K33" s="145">
        <v>1199.03</v>
      </c>
      <c r="L33" s="41">
        <f>J33*K33</f>
        <v>31353.497535114</v>
      </c>
      <c r="M33" s="54">
        <f>D33</f>
        <v>391.158</v>
      </c>
      <c r="N33" s="119">
        <f>L33/M33</f>
        <v>80.155583</v>
      </c>
      <c r="O33" s="85">
        <v>39.282</v>
      </c>
      <c r="P33" s="117">
        <f>H33+I33+O33</f>
        <v>43.487087962769905</v>
      </c>
      <c r="Q33" s="118">
        <f>P33-J33</f>
        <v>17.3380362</v>
      </c>
      <c r="R33" s="120"/>
      <c r="S33" s="58">
        <v>3500.4</v>
      </c>
      <c r="T33" s="24">
        <f>Q33*K33</f>
        <v>20788.825544886</v>
      </c>
      <c r="U33" s="121">
        <f>T33/S33</f>
        <v>5.938985700173123</v>
      </c>
      <c r="V33" s="106">
        <f>P33*K33/D33</f>
        <v>133.30245854616294</v>
      </c>
      <c r="W33" s="139"/>
      <c r="X33" s="137"/>
    </row>
    <row r="34" spans="1:24" ht="12.75">
      <c r="A34" s="107" t="s">
        <v>148</v>
      </c>
      <c r="B34" s="85">
        <v>356.856</v>
      </c>
      <c r="C34" s="59">
        <v>0</v>
      </c>
      <c r="D34" s="41">
        <f>B34+C34</f>
        <v>356.856</v>
      </c>
      <c r="E34" s="67">
        <v>0.0533</v>
      </c>
      <c r="F34" s="117">
        <f>D34*E34</f>
        <v>19.0204248</v>
      </c>
      <c r="G34" s="24"/>
      <c r="H34" s="80">
        <f>B34*12.89/1199.03</f>
        <v>3.8363292327965106</v>
      </c>
      <c r="I34" s="80"/>
      <c r="J34" s="118">
        <f>F34+H34+I34</f>
        <v>22.856754032796513</v>
      </c>
      <c r="K34" s="145">
        <v>1199.03</v>
      </c>
      <c r="L34" s="41">
        <f>J34*K34</f>
        <v>27405.933787944003</v>
      </c>
      <c r="M34" s="54">
        <f>D34</f>
        <v>356.856</v>
      </c>
      <c r="N34" s="150">
        <f>L34/M34</f>
        <v>76.79829900000001</v>
      </c>
      <c r="O34" s="85">
        <v>32.275</v>
      </c>
      <c r="P34" s="117">
        <f>H34+I34+O34</f>
        <v>36.11132923279651</v>
      </c>
      <c r="Q34" s="118">
        <f>P34-J34</f>
        <v>13.254575199999994</v>
      </c>
      <c r="R34" s="24"/>
      <c r="S34" s="58">
        <v>3447.5</v>
      </c>
      <c r="T34" s="24">
        <f>Q34*K34</f>
        <v>15892.633302055992</v>
      </c>
      <c r="U34" s="121">
        <f>T34/S34</f>
        <v>4.6099008852954295</v>
      </c>
      <c r="V34" s="106">
        <f>P34*K34/D34</f>
        <v>121.33344287331585</v>
      </c>
      <c r="W34" s="139"/>
      <c r="X34" s="137"/>
    </row>
    <row r="35" spans="1:24" ht="12.75">
      <c r="A35" s="107" t="s">
        <v>151</v>
      </c>
      <c r="B35" s="85">
        <v>105.617</v>
      </c>
      <c r="C35" s="59">
        <v>0</v>
      </c>
      <c r="D35" s="41">
        <f>B35+C35</f>
        <v>105.617</v>
      </c>
      <c r="E35" s="67">
        <v>0.0548</v>
      </c>
      <c r="F35" s="117">
        <f>D35*E35</f>
        <v>5.7878116</v>
      </c>
      <c r="G35" s="24"/>
      <c r="H35" s="80">
        <f>B35*12.89/1199.03</f>
        <v>1.1354204064952504</v>
      </c>
      <c r="I35" s="80"/>
      <c r="J35" s="118">
        <f>F35+H35+I35</f>
        <v>6.923232006495251</v>
      </c>
      <c r="K35" s="145">
        <v>1199.03</v>
      </c>
      <c r="L35" s="41">
        <f>J35*K35</f>
        <v>8301.162872748</v>
      </c>
      <c r="M35" s="54">
        <f>D35</f>
        <v>105.617</v>
      </c>
      <c r="N35" s="150">
        <f>L35/M35</f>
        <v>78.596844</v>
      </c>
      <c r="O35" s="85">
        <v>12.084</v>
      </c>
      <c r="P35" s="117">
        <f>H35+I35+O35</f>
        <v>13.21942040649525</v>
      </c>
      <c r="Q35" s="118">
        <f>P35-J35</f>
        <v>6.296188399999998</v>
      </c>
      <c r="R35" s="24"/>
      <c r="S35" s="58">
        <v>1478.3</v>
      </c>
      <c r="T35" s="24">
        <f>Q35*K35</f>
        <v>7549.318777251998</v>
      </c>
      <c r="U35" s="121">
        <f>T35/S35</f>
        <v>5.106756935163362</v>
      </c>
      <c r="V35" s="106">
        <f>P35*K35/D35</f>
        <v>150.07509823229213</v>
      </c>
      <c r="W35" s="139"/>
      <c r="X35" s="137"/>
    </row>
    <row r="36" spans="1:21" ht="12.75">
      <c r="A36" s="73" t="s">
        <v>17</v>
      </c>
      <c r="B36" s="88">
        <f>SUM(B33:B35)</f>
        <v>853.631</v>
      </c>
      <c r="C36" s="88">
        <f>SUM(C33:C35)</f>
        <v>0</v>
      </c>
      <c r="D36" s="88">
        <f>SUM(D33:D35)</f>
        <v>853.631</v>
      </c>
      <c r="E36" s="88"/>
      <c r="F36" s="88">
        <f>SUM(F33:F35)</f>
        <v>46.7522002</v>
      </c>
      <c r="G36" s="88"/>
      <c r="H36" s="88">
        <f>SUM(H33:H35)</f>
        <v>9.176837602061667</v>
      </c>
      <c r="I36" s="88"/>
      <c r="J36" s="88">
        <f>SUM(J33:J35)</f>
        <v>55.92903780206167</v>
      </c>
      <c r="K36" s="142">
        <v>1199.03</v>
      </c>
      <c r="L36" s="143">
        <f>SUM(L33:L35)</f>
        <v>67060.594195806</v>
      </c>
      <c r="M36" s="77">
        <f>SUM(M33:M35)</f>
        <v>853.631</v>
      </c>
      <c r="N36" s="88"/>
      <c r="O36" s="88">
        <f aca="true" t="shared" si="26" ref="O36:U36">SUM(O33:O35)</f>
        <v>83.64099999999999</v>
      </c>
      <c r="P36" s="141">
        <f t="shared" si="26"/>
        <v>92.81783760206166</v>
      </c>
      <c r="Q36" s="141">
        <f t="shared" si="26"/>
        <v>36.888799799999994</v>
      </c>
      <c r="R36" s="88">
        <f t="shared" si="26"/>
        <v>0</v>
      </c>
      <c r="S36" s="144">
        <f t="shared" si="26"/>
        <v>8426.199999999999</v>
      </c>
      <c r="T36" s="77">
        <f t="shared" si="26"/>
        <v>44230.77762419399</v>
      </c>
      <c r="U36" s="77">
        <f t="shared" si="26"/>
        <v>15.655643520631912</v>
      </c>
    </row>
  </sheetData>
  <mergeCells count="45">
    <mergeCell ref="U30:U31"/>
    <mergeCell ref="V30:V31"/>
    <mergeCell ref="Q30:Q31"/>
    <mergeCell ref="R30:R31"/>
    <mergeCell ref="S30:S31"/>
    <mergeCell ref="T30:T31"/>
    <mergeCell ref="M30:M31"/>
    <mergeCell ref="N30:N31"/>
    <mergeCell ref="O30:O31"/>
    <mergeCell ref="P30:P31"/>
    <mergeCell ref="I30:I31"/>
    <mergeCell ref="J30:J31"/>
    <mergeCell ref="K30:K31"/>
    <mergeCell ref="L30:L31"/>
    <mergeCell ref="E30:E31"/>
    <mergeCell ref="F30:F31"/>
    <mergeCell ref="G30:G31"/>
    <mergeCell ref="H30:H31"/>
    <mergeCell ref="A30:A31"/>
    <mergeCell ref="B30:B31"/>
    <mergeCell ref="C30:C31"/>
    <mergeCell ref="D30:D31"/>
    <mergeCell ref="N3:N4"/>
    <mergeCell ref="O3:O4"/>
    <mergeCell ref="P3:P4"/>
    <mergeCell ref="V3:V4"/>
    <mergeCell ref="Q3:Q4"/>
    <mergeCell ref="S3:S4"/>
    <mergeCell ref="T3:T4"/>
    <mergeCell ref="U3:U4"/>
    <mergeCell ref="R3:R4"/>
    <mergeCell ref="J3:J4"/>
    <mergeCell ref="K3:K4"/>
    <mergeCell ref="L3:L4"/>
    <mergeCell ref="M3:M4"/>
    <mergeCell ref="I1:J1"/>
    <mergeCell ref="A3:A4"/>
    <mergeCell ref="B3:B4"/>
    <mergeCell ref="C3:C4"/>
    <mergeCell ref="D3:D4"/>
    <mergeCell ref="E3:E4"/>
    <mergeCell ref="F3:F4"/>
    <mergeCell ref="H3:H4"/>
    <mergeCell ref="I3:I4"/>
    <mergeCell ref="G3:G4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5"/>
  <sheetViews>
    <sheetView workbookViewId="0" topLeftCell="A1">
      <selection activeCell="P17" sqref="P17"/>
    </sheetView>
  </sheetViews>
  <sheetFormatPr defaultColWidth="9.00390625" defaultRowHeight="12.75"/>
  <cols>
    <col min="1" max="1" width="8.875" style="189" customWidth="1"/>
    <col min="2" max="2" width="14.75390625" style="189" customWidth="1"/>
    <col min="3" max="3" width="8.625" style="189" customWidth="1"/>
    <col min="4" max="4" width="7.375" style="189" customWidth="1"/>
    <col min="5" max="5" width="7.00390625" style="189" customWidth="1"/>
    <col min="6" max="6" width="8.875" style="189" customWidth="1"/>
    <col min="7" max="7" width="7.625" style="189" customWidth="1"/>
    <col min="8" max="8" width="6.75390625" style="189" customWidth="1"/>
    <col min="9" max="9" width="7.125" style="189" customWidth="1"/>
    <col min="10" max="10" width="7.625" style="189" customWidth="1"/>
    <col min="11" max="11" width="6.875" style="189" customWidth="1"/>
    <col min="12" max="12" width="7.25390625" style="189" customWidth="1"/>
    <col min="13" max="13" width="7.75390625" style="189" customWidth="1"/>
    <col min="14" max="14" width="7.875" style="189" hidden="1" customWidth="1"/>
    <col min="15" max="15" width="8.625" style="189" hidden="1" customWidth="1"/>
    <col min="16" max="16" width="9.25390625" style="189" customWidth="1"/>
    <col min="17" max="17" width="8.625" style="189" customWidth="1"/>
    <col min="18" max="18" width="7.25390625" style="189" customWidth="1"/>
    <col min="19" max="19" width="7.00390625" style="189" hidden="1" customWidth="1"/>
    <col min="20" max="20" width="7.125" style="189" hidden="1" customWidth="1"/>
    <col min="21" max="21" width="6.875" style="189" hidden="1" customWidth="1"/>
    <col min="22" max="22" width="6.875" style="209" hidden="1" customWidth="1"/>
    <col min="23" max="16384" width="9.125" style="189" customWidth="1"/>
  </cols>
  <sheetData>
    <row r="1" spans="2:22" ht="37.5" customHeight="1">
      <c r="B1" s="202" t="s">
        <v>182</v>
      </c>
      <c r="C1" s="204"/>
      <c r="D1" s="202"/>
      <c r="E1" s="202"/>
      <c r="F1" s="202"/>
      <c r="G1" s="202"/>
      <c r="H1" s="203"/>
      <c r="I1" s="204"/>
      <c r="J1" s="353"/>
      <c r="K1" s="353"/>
      <c r="L1" s="204"/>
      <c r="M1" s="205">
        <v>2014</v>
      </c>
      <c r="N1" s="204"/>
      <c r="O1" s="204" t="s">
        <v>120</v>
      </c>
      <c r="P1" s="223"/>
      <c r="Q1" s="204"/>
      <c r="R1" s="204"/>
      <c r="S1" s="204"/>
      <c r="T1" s="204" t="s">
        <v>119</v>
      </c>
      <c r="U1" s="204"/>
      <c r="V1" s="204"/>
    </row>
    <row r="2" spans="2:18" ht="12.75">
      <c r="B2" s="206"/>
      <c r="C2" s="207"/>
      <c r="D2" s="206"/>
      <c r="E2" s="206"/>
      <c r="F2" s="206"/>
      <c r="G2" s="206"/>
      <c r="H2" s="206"/>
      <c r="I2" s="206"/>
      <c r="J2" s="206"/>
      <c r="K2" s="206"/>
      <c r="L2" s="208"/>
      <c r="M2" s="206"/>
      <c r="N2" s="206"/>
      <c r="O2" s="206"/>
      <c r="P2" s="207"/>
      <c r="Q2" s="207"/>
      <c r="R2" s="208"/>
    </row>
    <row r="3" spans="2:23" ht="25.5" customHeight="1">
      <c r="B3" s="280" t="s">
        <v>116</v>
      </c>
      <c r="C3" s="282" t="s">
        <v>133</v>
      </c>
      <c r="D3" s="282" t="s">
        <v>126</v>
      </c>
      <c r="E3" s="282" t="s">
        <v>127</v>
      </c>
      <c r="F3" s="282" t="s">
        <v>104</v>
      </c>
      <c r="G3" s="282" t="s">
        <v>100</v>
      </c>
      <c r="H3" s="282" t="s">
        <v>128</v>
      </c>
      <c r="I3" s="284" t="s">
        <v>140</v>
      </c>
      <c r="J3" s="284" t="s">
        <v>131</v>
      </c>
      <c r="K3" s="346" t="s">
        <v>132</v>
      </c>
      <c r="L3" s="282" t="s">
        <v>142</v>
      </c>
      <c r="M3" s="282" t="s">
        <v>165</v>
      </c>
      <c r="N3" s="282" t="s">
        <v>124</v>
      </c>
      <c r="O3" s="282" t="s">
        <v>129</v>
      </c>
      <c r="P3" s="354" t="s">
        <v>125</v>
      </c>
      <c r="Q3" s="337"/>
      <c r="R3" s="337"/>
      <c r="S3" s="335"/>
      <c r="T3" s="337" t="s">
        <v>123</v>
      </c>
      <c r="U3" s="339" t="s">
        <v>115</v>
      </c>
      <c r="V3" s="332" t="s">
        <v>117</v>
      </c>
      <c r="W3" s="137"/>
    </row>
    <row r="4" spans="2:23" ht="70.5" customHeight="1">
      <c r="B4" s="281"/>
      <c r="C4" s="283"/>
      <c r="D4" s="283"/>
      <c r="E4" s="283"/>
      <c r="F4" s="283"/>
      <c r="G4" s="283"/>
      <c r="H4" s="283"/>
      <c r="I4" s="283"/>
      <c r="J4" s="283"/>
      <c r="K4" s="347"/>
      <c r="L4" s="283"/>
      <c r="M4" s="306"/>
      <c r="N4" s="283"/>
      <c r="O4" s="283"/>
      <c r="P4" s="355"/>
      <c r="Q4" s="338"/>
      <c r="R4" s="338"/>
      <c r="S4" s="336"/>
      <c r="T4" s="338"/>
      <c r="U4" s="340"/>
      <c r="V4" s="333"/>
      <c r="W4" s="137"/>
    </row>
    <row r="5" spans="2:23" s="210" customFormat="1" ht="10.5" customHeight="1">
      <c r="B5" s="149"/>
      <c r="C5" s="149">
        <v>13</v>
      </c>
      <c r="D5" s="149">
        <v>1</v>
      </c>
      <c r="E5" s="149">
        <v>2</v>
      </c>
      <c r="F5" s="149">
        <v>3</v>
      </c>
      <c r="G5" s="149">
        <v>4</v>
      </c>
      <c r="H5" s="149">
        <v>5</v>
      </c>
      <c r="I5" s="149">
        <v>6</v>
      </c>
      <c r="J5" s="149">
        <v>7</v>
      </c>
      <c r="K5" s="149">
        <v>8</v>
      </c>
      <c r="L5" s="149">
        <v>14</v>
      </c>
      <c r="M5" s="149">
        <v>9</v>
      </c>
      <c r="N5" s="149">
        <v>10</v>
      </c>
      <c r="O5" s="149">
        <v>11</v>
      </c>
      <c r="P5" s="146">
        <v>12</v>
      </c>
      <c r="Q5" s="171"/>
      <c r="R5" s="171"/>
      <c r="S5" s="171"/>
      <c r="T5" s="171">
        <v>16</v>
      </c>
      <c r="U5" s="171">
        <v>17</v>
      </c>
      <c r="V5" s="171">
        <v>18</v>
      </c>
      <c r="W5" s="138"/>
    </row>
    <row r="6" spans="1:23" ht="12.75">
      <c r="A6" s="189" t="s">
        <v>121</v>
      </c>
      <c r="B6" s="41" t="s">
        <v>97</v>
      </c>
      <c r="C6" s="117">
        <v>66.979</v>
      </c>
      <c r="D6" s="41">
        <v>62.239</v>
      </c>
      <c r="E6" s="41">
        <v>56</v>
      </c>
      <c r="F6" s="41">
        <f aca="true" t="shared" si="0" ref="F6:F12">D6+E6</f>
        <v>118.239</v>
      </c>
      <c r="G6" s="41">
        <v>0.0609</v>
      </c>
      <c r="H6" s="117">
        <f aca="true" t="shared" si="1" ref="H6:H13">F6*G6</f>
        <v>7.2007551</v>
      </c>
      <c r="I6" s="117">
        <f>D6*14.34/991.2</f>
        <v>0.900431053268765</v>
      </c>
      <c r="J6" s="117">
        <f>E6*13.47/991.2</f>
        <v>0.7610169491525424</v>
      </c>
      <c r="K6" s="211">
        <f>H6+I6+J6</f>
        <v>8.862203102421308</v>
      </c>
      <c r="L6" s="117">
        <f aca="true" t="shared" si="2" ref="L6:L13">C6+I6+J6</f>
        <v>68.64044800242131</v>
      </c>
      <c r="M6" s="41">
        <v>991.2</v>
      </c>
      <c r="N6" s="41">
        <f>K6*M6</f>
        <v>8784.21571512</v>
      </c>
      <c r="O6" s="41">
        <f aca="true" t="shared" si="3" ref="O6:O13">F6</f>
        <v>118.239</v>
      </c>
      <c r="P6" s="212">
        <f>K6*M6/F6</f>
        <v>74.29203321340675</v>
      </c>
      <c r="Q6" s="224"/>
      <c r="R6" s="224"/>
      <c r="S6" s="225"/>
      <c r="T6" s="137">
        <v>2905.2</v>
      </c>
      <c r="U6" s="137">
        <f>S6*M6</f>
        <v>0</v>
      </c>
      <c r="V6" s="175">
        <f>U6/T6</f>
        <v>0</v>
      </c>
      <c r="W6" s="137"/>
    </row>
    <row r="7" spans="1:23" ht="12.75">
      <c r="A7" s="189" t="s">
        <v>122</v>
      </c>
      <c r="B7" s="41" t="s">
        <v>97</v>
      </c>
      <c r="C7" s="117">
        <v>58.97</v>
      </c>
      <c r="D7" s="117">
        <v>64.079</v>
      </c>
      <c r="E7" s="41">
        <v>59</v>
      </c>
      <c r="F7" s="41">
        <f t="shared" si="0"/>
        <v>123.079</v>
      </c>
      <c r="G7" s="41">
        <v>0.0591</v>
      </c>
      <c r="H7" s="117">
        <f t="shared" si="1"/>
        <v>7.2739689</v>
      </c>
      <c r="I7" s="117">
        <f>D7*14.34/991.2</f>
        <v>0.9270509079903146</v>
      </c>
      <c r="J7" s="117">
        <f>E7*13.47/991.2</f>
        <v>0.8017857142857142</v>
      </c>
      <c r="K7" s="118">
        <f aca="true" t="shared" si="4" ref="K7:K12">H7+I7+J7</f>
        <v>9.002805522276029</v>
      </c>
      <c r="L7" s="117">
        <f t="shared" si="2"/>
        <v>60.698836622276026</v>
      </c>
      <c r="M7" s="41">
        <v>991.2</v>
      </c>
      <c r="N7" s="41">
        <f>K7*M7</f>
        <v>8923.58083368</v>
      </c>
      <c r="O7" s="41">
        <f t="shared" si="3"/>
        <v>123.079</v>
      </c>
      <c r="P7" s="212">
        <f>K7*M7/F7</f>
        <v>72.50287078770546</v>
      </c>
      <c r="Q7" s="224"/>
      <c r="R7" s="224"/>
      <c r="S7" s="225"/>
      <c r="T7" s="137">
        <v>2905.2</v>
      </c>
      <c r="U7" s="137">
        <f>S7*M7</f>
        <v>0</v>
      </c>
      <c r="V7" s="175">
        <f>U7/T7</f>
        <v>0</v>
      </c>
      <c r="W7" s="137"/>
    </row>
    <row r="8" spans="1:23" ht="12.75">
      <c r="A8" s="189" t="s">
        <v>139</v>
      </c>
      <c r="B8" s="41" t="s">
        <v>97</v>
      </c>
      <c r="C8" s="54">
        <v>10.65</v>
      </c>
      <c r="D8" s="54">
        <v>22.075</v>
      </c>
      <c r="E8" s="41">
        <v>70</v>
      </c>
      <c r="F8" s="41">
        <f t="shared" si="0"/>
        <v>92.075</v>
      </c>
      <c r="G8" s="213">
        <v>0.05537</v>
      </c>
      <c r="H8" s="214">
        <f t="shared" si="1"/>
        <v>5.098192750000001</v>
      </c>
      <c r="I8" s="117">
        <f>D8*14.34/991.2</f>
        <v>0.3193659200968523</v>
      </c>
      <c r="J8" s="117">
        <f>E8*13.46/991.2</f>
        <v>0.9505649717514124</v>
      </c>
      <c r="K8" s="118">
        <f t="shared" si="4"/>
        <v>6.368123641848266</v>
      </c>
      <c r="L8" s="117">
        <f t="shared" si="2"/>
        <v>11.919930891848264</v>
      </c>
      <c r="M8" s="41">
        <v>991.2</v>
      </c>
      <c r="N8" s="213">
        <f>K8*M8</f>
        <v>6312.084153800001</v>
      </c>
      <c r="O8" s="222">
        <f t="shared" si="3"/>
        <v>92.075</v>
      </c>
      <c r="P8" s="212">
        <f>K8*M8/F8</f>
        <v>68.55372417920175</v>
      </c>
      <c r="Q8" s="226"/>
      <c r="R8" s="224"/>
      <c r="S8" s="225"/>
      <c r="T8" s="137"/>
      <c r="U8" s="137"/>
      <c r="V8" s="175"/>
      <c r="W8" s="175"/>
    </row>
    <row r="9" spans="1:23" ht="12.75">
      <c r="A9" s="189" t="s">
        <v>141</v>
      </c>
      <c r="B9" s="41" t="s">
        <v>97</v>
      </c>
      <c r="C9" s="54">
        <v>11.1</v>
      </c>
      <c r="D9" s="54">
        <v>15.636</v>
      </c>
      <c r="E9" s="41">
        <v>70</v>
      </c>
      <c r="F9" s="41">
        <f t="shared" si="0"/>
        <v>85.636</v>
      </c>
      <c r="G9" s="215">
        <v>0.0588</v>
      </c>
      <c r="H9" s="214">
        <f t="shared" si="1"/>
        <v>5.0353968</v>
      </c>
      <c r="I9" s="117">
        <f>D9*14.34/991.2</f>
        <v>0.2262108958837772</v>
      </c>
      <c r="J9" s="117">
        <f>E9*13.46/991.2</f>
        <v>0.9505649717514124</v>
      </c>
      <c r="K9" s="118">
        <f t="shared" si="4"/>
        <v>6.21217266763519</v>
      </c>
      <c r="L9" s="117">
        <f t="shared" si="2"/>
        <v>12.27677586763519</v>
      </c>
      <c r="M9" s="41">
        <v>991.2</v>
      </c>
      <c r="N9" s="213">
        <f>K9*M9</f>
        <v>6157.50554816</v>
      </c>
      <c r="O9" s="222">
        <f t="shared" si="3"/>
        <v>85.636</v>
      </c>
      <c r="P9" s="212">
        <f>K9*M9/F9</f>
        <v>71.90323635106732</v>
      </c>
      <c r="Q9" s="226"/>
      <c r="R9" s="224"/>
      <c r="S9" s="225"/>
      <c r="T9" s="137"/>
      <c r="U9" s="137"/>
      <c r="V9" s="175"/>
      <c r="W9" s="175"/>
    </row>
    <row r="10" spans="1:23" ht="12.75">
      <c r="A10" s="189" t="s">
        <v>143</v>
      </c>
      <c r="B10" s="41" t="s">
        <v>97</v>
      </c>
      <c r="C10" s="54">
        <v>12.684</v>
      </c>
      <c r="D10" s="54">
        <v>17.869</v>
      </c>
      <c r="E10" s="41">
        <v>70</v>
      </c>
      <c r="F10" s="41">
        <f t="shared" si="0"/>
        <v>87.869</v>
      </c>
      <c r="G10" s="216"/>
      <c r="H10" s="117"/>
      <c r="I10" s="117">
        <f>D10*14.49/1050.67</f>
        <v>0.2464349510312467</v>
      </c>
      <c r="J10" s="117">
        <f>E10*13.98/1050.67</f>
        <v>0.9314056744743829</v>
      </c>
      <c r="K10" s="118">
        <f t="shared" si="4"/>
        <v>1.1778406255056297</v>
      </c>
      <c r="L10" s="190">
        <f t="shared" si="2"/>
        <v>13.86184062550563</v>
      </c>
      <c r="M10" s="41">
        <v>1050.67</v>
      </c>
      <c r="N10" s="213"/>
      <c r="O10" s="222"/>
      <c r="P10" s="217">
        <f>L10*M10/F10</f>
        <v>165.74924137067683</v>
      </c>
      <c r="Q10" s="226"/>
      <c r="R10" s="227"/>
      <c r="S10" s="225"/>
      <c r="T10" s="137"/>
      <c r="U10" s="137"/>
      <c r="V10" s="175"/>
      <c r="W10" s="139"/>
    </row>
    <row r="11" spans="1:23" ht="12.75">
      <c r="A11" s="189" t="s">
        <v>144</v>
      </c>
      <c r="B11" s="41" t="s">
        <v>97</v>
      </c>
      <c r="C11" s="54">
        <v>10.6</v>
      </c>
      <c r="D11" s="54">
        <v>16.249</v>
      </c>
      <c r="E11" s="41">
        <v>60</v>
      </c>
      <c r="F11" s="41">
        <f t="shared" si="0"/>
        <v>76.249</v>
      </c>
      <c r="G11" s="216"/>
      <c r="H11" s="117"/>
      <c r="I11" s="117">
        <f>D11*14.49/1050.67</f>
        <v>0.22409320719160153</v>
      </c>
      <c r="J11" s="117">
        <f>E11*13.98/1050.67</f>
        <v>0.7983477209780426</v>
      </c>
      <c r="K11" s="118">
        <f t="shared" si="4"/>
        <v>1.0224409281696443</v>
      </c>
      <c r="L11" s="190">
        <f t="shared" si="2"/>
        <v>11.622440928169645</v>
      </c>
      <c r="M11" s="41">
        <v>1050.67</v>
      </c>
      <c r="N11" s="41"/>
      <c r="O11" s="54"/>
      <c r="P11" s="217">
        <f>L11*M11/F11</f>
        <v>160.15095293053028</v>
      </c>
      <c r="Q11" s="226"/>
      <c r="R11" s="227"/>
      <c r="S11" s="225"/>
      <c r="T11" s="137"/>
      <c r="U11" s="137"/>
      <c r="V11" s="175"/>
      <c r="W11" s="139"/>
    </row>
    <row r="12" spans="1:23" ht="12.75">
      <c r="A12" s="189" t="s">
        <v>156</v>
      </c>
      <c r="B12" s="41" t="s">
        <v>97</v>
      </c>
      <c r="C12" s="54">
        <v>13.1</v>
      </c>
      <c r="D12" s="54">
        <v>20.44</v>
      </c>
      <c r="E12" s="41">
        <v>75</v>
      </c>
      <c r="F12" s="41">
        <f t="shared" si="0"/>
        <v>95.44</v>
      </c>
      <c r="G12" s="216"/>
      <c r="H12" s="117"/>
      <c r="I12" s="117">
        <f>D12*14.49/1050.67</f>
        <v>0.2818921259767577</v>
      </c>
      <c r="J12" s="117">
        <f>E12*13.98/1050.67</f>
        <v>0.9979346512225532</v>
      </c>
      <c r="K12" s="118">
        <f t="shared" si="4"/>
        <v>1.279826777199311</v>
      </c>
      <c r="L12" s="190">
        <f t="shared" si="2"/>
        <v>14.37982677719931</v>
      </c>
      <c r="M12" s="41">
        <v>1050.67</v>
      </c>
      <c r="N12" s="41"/>
      <c r="O12" s="54"/>
      <c r="P12" s="217">
        <f>L12*M12/F12</f>
        <v>158.30314962279968</v>
      </c>
      <c r="Q12" s="226"/>
      <c r="R12" s="227"/>
      <c r="S12" s="225"/>
      <c r="T12" s="137"/>
      <c r="U12" s="137"/>
      <c r="V12" s="175"/>
      <c r="W12" s="139"/>
    </row>
    <row r="13" spans="1:23" ht="12.75">
      <c r="A13" s="189" t="s">
        <v>158</v>
      </c>
      <c r="B13" s="41" t="s">
        <v>97</v>
      </c>
      <c r="C13" s="54">
        <v>55</v>
      </c>
      <c r="D13" s="54">
        <v>37.507</v>
      </c>
      <c r="E13" s="41">
        <v>80</v>
      </c>
      <c r="F13" s="41">
        <f>D13+E13</f>
        <v>117.507</v>
      </c>
      <c r="G13" s="216">
        <v>0.0619</v>
      </c>
      <c r="H13" s="117">
        <f t="shared" si="1"/>
        <v>7.2736833</v>
      </c>
      <c r="I13" s="117">
        <f>D13*14.49/1050.67</f>
        <v>0.5172665346873898</v>
      </c>
      <c r="J13" s="117">
        <f>E13*13.98/1050.67</f>
        <v>1.0644636279707234</v>
      </c>
      <c r="K13" s="118">
        <f>H13+I13+J13</f>
        <v>8.855413462658113</v>
      </c>
      <c r="L13" s="117">
        <f t="shared" si="2"/>
        <v>56.58173016265811</v>
      </c>
      <c r="M13" s="41">
        <v>1050.67</v>
      </c>
      <c r="N13" s="41">
        <f>K13*M13</f>
        <v>9304.117262811</v>
      </c>
      <c r="O13" s="54">
        <f t="shared" si="3"/>
        <v>117.507</v>
      </c>
      <c r="P13" s="212">
        <f>N13/O13</f>
        <v>79.17925964249788</v>
      </c>
      <c r="Q13" s="226"/>
      <c r="R13" s="224"/>
      <c r="S13" s="225"/>
      <c r="T13" s="137">
        <v>2905.2</v>
      </c>
      <c r="U13" s="137">
        <f>S13*M13</f>
        <v>0</v>
      </c>
      <c r="V13" s="175">
        <f>U13/T13</f>
        <v>0</v>
      </c>
      <c r="W13" s="137"/>
    </row>
    <row r="14" spans="2:23" s="218" customFormat="1" ht="11.25">
      <c r="B14" s="138"/>
      <c r="C14" s="219"/>
      <c r="E14" s="219"/>
      <c r="F14" s="219"/>
      <c r="G14" s="159"/>
      <c r="H14" s="160"/>
      <c r="I14" s="160"/>
      <c r="J14" s="160"/>
      <c r="K14" s="161"/>
      <c r="L14" s="161"/>
      <c r="M14" s="162"/>
      <c r="N14" s="138"/>
      <c r="O14" s="163"/>
      <c r="P14" s="164"/>
      <c r="Q14" s="228"/>
      <c r="R14" s="352"/>
      <c r="S14" s="352"/>
      <c r="T14" s="165"/>
      <c r="U14" s="138"/>
      <c r="V14" s="160"/>
      <c r="W14" s="162"/>
    </row>
    <row r="15" spans="2:23" s="218" customFormat="1" ht="11.25">
      <c r="B15" s="138"/>
      <c r="C15" s="219"/>
      <c r="E15" s="219"/>
      <c r="F15" s="219"/>
      <c r="G15" s="159"/>
      <c r="H15" s="160"/>
      <c r="I15" s="160"/>
      <c r="J15" s="160"/>
      <c r="K15" s="161"/>
      <c r="L15" s="219"/>
      <c r="M15" s="162"/>
      <c r="N15" s="138"/>
      <c r="O15" s="163"/>
      <c r="P15" s="164"/>
      <c r="Q15" s="228"/>
      <c r="R15" s="228"/>
      <c r="S15" s="228"/>
      <c r="T15" s="165"/>
      <c r="U15" s="138"/>
      <c r="V15" s="160"/>
      <c r="W15" s="162"/>
    </row>
    <row r="16" spans="2:23" s="218" customFormat="1" ht="11.25">
      <c r="B16" s="138"/>
      <c r="C16" s="219"/>
      <c r="E16" s="219"/>
      <c r="F16" s="219"/>
      <c r="G16" s="159"/>
      <c r="H16" s="160"/>
      <c r="I16" s="160"/>
      <c r="J16" s="160"/>
      <c r="K16" s="161"/>
      <c r="L16" s="219"/>
      <c r="M16" s="162"/>
      <c r="N16" s="138"/>
      <c r="O16" s="163"/>
      <c r="P16" s="164"/>
      <c r="Q16" s="228"/>
      <c r="R16" s="228"/>
      <c r="S16" s="228"/>
      <c r="T16" s="165"/>
      <c r="U16" s="138"/>
      <c r="V16" s="160"/>
      <c r="W16" s="162"/>
    </row>
    <row r="17" spans="2:23" s="218" customFormat="1" ht="11.25">
      <c r="B17" s="138"/>
      <c r="C17" s="219"/>
      <c r="E17" s="219"/>
      <c r="F17" s="219"/>
      <c r="G17" s="159"/>
      <c r="H17" s="160"/>
      <c r="I17" s="160"/>
      <c r="J17" s="160"/>
      <c r="K17" s="161"/>
      <c r="L17" s="219"/>
      <c r="M17" s="162"/>
      <c r="N17" s="138"/>
      <c r="O17" s="163"/>
      <c r="P17" s="164"/>
      <c r="Q17" s="228"/>
      <c r="R17" s="228"/>
      <c r="S17" s="228"/>
      <c r="T17" s="165"/>
      <c r="U17" s="138"/>
      <c r="V17" s="160"/>
      <c r="W17" s="162"/>
    </row>
    <row r="18" spans="2:23" s="218" customFormat="1" ht="11.25">
      <c r="B18" s="138"/>
      <c r="C18" s="219"/>
      <c r="E18" s="219"/>
      <c r="F18" s="219"/>
      <c r="G18" s="159"/>
      <c r="H18" s="160"/>
      <c r="I18" s="160"/>
      <c r="J18" s="160"/>
      <c r="K18" s="161"/>
      <c r="L18" s="219"/>
      <c r="M18" s="162"/>
      <c r="N18" s="138"/>
      <c r="O18" s="163"/>
      <c r="P18" s="164"/>
      <c r="Q18" s="228"/>
      <c r="R18" s="228"/>
      <c r="S18" s="228"/>
      <c r="T18" s="165"/>
      <c r="U18" s="138"/>
      <c r="V18" s="160"/>
      <c r="W18" s="162"/>
    </row>
    <row r="19" spans="2:23" s="218" customFormat="1" ht="11.25">
      <c r="B19" s="138"/>
      <c r="C19" s="219"/>
      <c r="E19" s="219"/>
      <c r="F19" s="219"/>
      <c r="G19" s="159"/>
      <c r="H19" s="160"/>
      <c r="I19" s="160"/>
      <c r="J19" s="160"/>
      <c r="K19" s="161"/>
      <c r="L19" s="219"/>
      <c r="M19" s="162"/>
      <c r="N19" s="138"/>
      <c r="O19" s="163"/>
      <c r="P19" s="164"/>
      <c r="Q19" s="228"/>
      <c r="R19" s="228"/>
      <c r="S19" s="228"/>
      <c r="T19" s="165"/>
      <c r="U19" s="138"/>
      <c r="V19" s="160"/>
      <c r="W19" s="162"/>
    </row>
    <row r="20" spans="2:22" s="218" customFormat="1" ht="11.25">
      <c r="B20" s="138"/>
      <c r="C20" s="219"/>
      <c r="E20" s="219"/>
      <c r="F20" s="219"/>
      <c r="G20" s="159"/>
      <c r="H20" s="160"/>
      <c r="I20" s="160"/>
      <c r="J20" s="160"/>
      <c r="K20" s="161"/>
      <c r="L20" s="219"/>
      <c r="M20" s="162"/>
      <c r="N20" s="138"/>
      <c r="O20" s="163"/>
      <c r="P20" s="164"/>
      <c r="Q20" s="219"/>
      <c r="R20" s="219"/>
      <c r="S20" s="219"/>
      <c r="T20" s="165"/>
      <c r="U20" s="138"/>
      <c r="V20" s="160"/>
    </row>
    <row r="21" spans="2:7" ht="12.75">
      <c r="B21" s="220" t="s">
        <v>137</v>
      </c>
      <c r="D21" s="221"/>
      <c r="E21" s="221"/>
      <c r="F21" s="220" t="s">
        <v>138</v>
      </c>
      <c r="G21" s="221"/>
    </row>
    <row r="22" ht="14.25" customHeight="1"/>
    <row r="23" ht="12.75">
      <c r="B23" s="189" t="s">
        <v>39</v>
      </c>
    </row>
    <row r="24" spans="2:22" s="218" customFormat="1" ht="11.25">
      <c r="B24" s="138"/>
      <c r="C24" s="219"/>
      <c r="E24" s="219"/>
      <c r="F24" s="219"/>
      <c r="G24" s="159"/>
      <c r="H24" s="160"/>
      <c r="I24" s="160"/>
      <c r="J24" s="160"/>
      <c r="K24" s="161"/>
      <c r="L24" s="219"/>
      <c r="M24" s="162"/>
      <c r="N24" s="138"/>
      <c r="O24" s="163"/>
      <c r="P24" s="164"/>
      <c r="Q24" s="219"/>
      <c r="R24" s="219"/>
      <c r="S24" s="219"/>
      <c r="T24" s="165"/>
      <c r="U24" s="138"/>
      <c r="V24" s="160"/>
    </row>
    <row r="25" spans="2:22" s="218" customFormat="1" ht="11.25">
      <c r="B25" s="138"/>
      <c r="C25" s="219"/>
      <c r="E25" s="219"/>
      <c r="F25" s="219"/>
      <c r="G25" s="159"/>
      <c r="H25" s="160"/>
      <c r="I25" s="160"/>
      <c r="J25" s="160"/>
      <c r="K25" s="161"/>
      <c r="L25" s="219"/>
      <c r="M25" s="162"/>
      <c r="N25" s="138"/>
      <c r="O25" s="163"/>
      <c r="P25" s="164"/>
      <c r="Q25" s="219"/>
      <c r="R25" s="219"/>
      <c r="S25" s="219"/>
      <c r="T25" s="165"/>
      <c r="U25" s="138"/>
      <c r="V25" s="160"/>
    </row>
  </sheetData>
  <mergeCells count="23">
    <mergeCell ref="U3:U4"/>
    <mergeCell ref="J3:J4"/>
    <mergeCell ref="V3:V4"/>
    <mergeCell ref="S3:S4"/>
    <mergeCell ref="T3:T4"/>
    <mergeCell ref="R3:R4"/>
    <mergeCell ref="P3:P4"/>
    <mergeCell ref="Q3:Q4"/>
    <mergeCell ref="O3:O4"/>
    <mergeCell ref="L3:L4"/>
    <mergeCell ref="J1:K1"/>
    <mergeCell ref="K3:K4"/>
    <mergeCell ref="M3:M4"/>
    <mergeCell ref="N3:N4"/>
    <mergeCell ref="R14:S14"/>
    <mergeCell ref="B3:B4"/>
    <mergeCell ref="D3:D4"/>
    <mergeCell ref="E3:E4"/>
    <mergeCell ref="F3:F4"/>
    <mergeCell ref="G3:G4"/>
    <mergeCell ref="H3:H4"/>
    <mergeCell ref="I3:I4"/>
    <mergeCell ref="C3:C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A1">
      <selection activeCell="K2" sqref="K2"/>
    </sheetView>
  </sheetViews>
  <sheetFormatPr defaultColWidth="9.00390625" defaultRowHeight="12.75"/>
  <cols>
    <col min="1" max="1" width="18.25390625" style="0" customWidth="1"/>
    <col min="2" max="2" width="7.375" style="0" customWidth="1"/>
    <col min="3" max="3" width="5.375" style="0" customWidth="1"/>
    <col min="4" max="4" width="7.625" style="0" customWidth="1"/>
    <col min="5" max="5" width="6.125" style="0" customWidth="1"/>
    <col min="6" max="6" width="5.75390625" style="0" customWidth="1"/>
    <col min="7" max="7" width="8.25390625" style="0" customWidth="1"/>
    <col min="8" max="8" width="7.00390625" style="0" customWidth="1"/>
    <col min="9" max="9" width="5.00390625" style="0" customWidth="1"/>
    <col min="10" max="10" width="5.875" style="0" customWidth="1"/>
    <col min="11" max="11" width="6.625" style="0" customWidth="1"/>
    <col min="12" max="12" width="3.875" style="0" customWidth="1"/>
    <col min="13" max="13" width="6.75390625" style="0" customWidth="1"/>
    <col min="14" max="14" width="8.375" style="0" customWidth="1"/>
    <col min="15" max="16" width="7.75390625" style="0" customWidth="1"/>
    <col min="17" max="17" width="6.625" style="0" customWidth="1"/>
    <col min="18" max="18" width="7.125" style="0" customWidth="1"/>
  </cols>
  <sheetData>
    <row r="2" spans="1:8" ht="12.75">
      <c r="A2" s="15" t="s">
        <v>40</v>
      </c>
      <c r="B2" s="279"/>
      <c r="C2" s="279"/>
      <c r="D2" s="279"/>
      <c r="E2" s="356" t="s">
        <v>47</v>
      </c>
      <c r="F2" s="356"/>
      <c r="G2" s="356"/>
      <c r="H2" s="356"/>
    </row>
    <row r="3" spans="1:17" ht="12.75">
      <c r="A3" s="18"/>
      <c r="B3" s="18"/>
      <c r="C3" s="18"/>
      <c r="D3" s="18"/>
      <c r="E3" s="18"/>
      <c r="F3" s="18"/>
      <c r="G3" s="18"/>
      <c r="H3" s="18"/>
      <c r="Q3" t="s">
        <v>93</v>
      </c>
    </row>
    <row r="4" spans="1:18" ht="15.75" customHeight="1">
      <c r="A4" s="19" t="s">
        <v>18</v>
      </c>
      <c r="B4" s="43" t="s">
        <v>19</v>
      </c>
      <c r="C4" s="43" t="s">
        <v>20</v>
      </c>
      <c r="D4" s="44" t="s">
        <v>21</v>
      </c>
      <c r="E4" s="45" t="s">
        <v>22</v>
      </c>
      <c r="F4" s="46" t="s">
        <v>23</v>
      </c>
      <c r="G4" s="47" t="s">
        <v>24</v>
      </c>
      <c r="H4" s="43" t="s">
        <v>50</v>
      </c>
      <c r="I4" s="42"/>
      <c r="J4" s="42"/>
      <c r="K4" s="42"/>
      <c r="L4" s="42"/>
      <c r="M4" s="48" t="s">
        <v>90</v>
      </c>
      <c r="N4" s="42" t="s">
        <v>91</v>
      </c>
      <c r="O4" s="42" t="s">
        <v>74</v>
      </c>
      <c r="P4" s="42" t="s">
        <v>92</v>
      </c>
      <c r="Q4" s="42" t="s">
        <v>94</v>
      </c>
      <c r="R4" s="42" t="s">
        <v>27</v>
      </c>
    </row>
    <row r="5" spans="1:18" ht="12.75">
      <c r="A5" s="17"/>
      <c r="B5" s="42"/>
      <c r="C5" s="42"/>
      <c r="D5" s="42"/>
      <c r="E5" s="49" t="s">
        <v>25</v>
      </c>
      <c r="F5" s="42"/>
      <c r="G5" s="50"/>
      <c r="H5" s="47"/>
      <c r="I5" s="42"/>
      <c r="J5" s="44" t="s">
        <v>0</v>
      </c>
      <c r="K5" s="42"/>
      <c r="L5" s="42"/>
      <c r="M5" s="44">
        <v>0.022</v>
      </c>
      <c r="N5" s="44">
        <v>0.01489</v>
      </c>
      <c r="O5" s="44">
        <f>M5+N5</f>
        <v>0.03689</v>
      </c>
      <c r="P5" s="44">
        <v>9290.5</v>
      </c>
      <c r="Q5" s="47">
        <f>O5*P5</f>
        <v>342.726545</v>
      </c>
      <c r="R5" s="50">
        <f>Q5*17.84</f>
        <v>6114.2415628</v>
      </c>
    </row>
    <row r="6" spans="1:18" ht="12.75">
      <c r="A6" s="2" t="s">
        <v>0</v>
      </c>
      <c r="B6" s="44">
        <v>25.175</v>
      </c>
      <c r="C6" s="44">
        <v>1694</v>
      </c>
      <c r="D6" s="44">
        <f aca="true" t="shared" si="0" ref="D6:D12">B6+C6</f>
        <v>1719.175</v>
      </c>
      <c r="E6" s="51">
        <v>121.6</v>
      </c>
      <c r="F6" s="44">
        <v>826</v>
      </c>
      <c r="G6" s="47">
        <f>E6*F6</f>
        <v>100441.59999999999</v>
      </c>
      <c r="H6" s="47">
        <f>G6/D6</f>
        <v>58.424302354326926</v>
      </c>
      <c r="I6" s="42"/>
      <c r="J6" s="44" t="s">
        <v>1</v>
      </c>
      <c r="K6" s="42"/>
      <c r="L6" s="42"/>
      <c r="M6" s="44">
        <v>0.021</v>
      </c>
      <c r="N6" s="44">
        <v>0.013968</v>
      </c>
      <c r="O6" s="44">
        <f aca="true" t="shared" si="1" ref="O6:O23">M6+N6</f>
        <v>0.034968</v>
      </c>
      <c r="P6" s="44">
        <v>9725.3</v>
      </c>
      <c r="Q6" s="47">
        <f aca="true" t="shared" si="2" ref="Q6:Q22">O6*P6</f>
        <v>340.07429039999994</v>
      </c>
      <c r="R6" s="50">
        <f aca="true" t="shared" si="3" ref="R6:R22">Q6*17.84</f>
        <v>6066.925340735999</v>
      </c>
    </row>
    <row r="7" spans="1:18" ht="12.75">
      <c r="A7" s="2" t="s">
        <v>1</v>
      </c>
      <c r="B7" s="44">
        <v>59.913</v>
      </c>
      <c r="C7" s="44">
        <v>572</v>
      </c>
      <c r="D7" s="44">
        <f t="shared" si="0"/>
        <v>631.913</v>
      </c>
      <c r="E7" s="51">
        <v>45.13</v>
      </c>
      <c r="F7" s="44">
        <v>826</v>
      </c>
      <c r="G7" s="47">
        <f aca="true" t="shared" si="4" ref="G7:G24">E7*F7</f>
        <v>37277.380000000005</v>
      </c>
      <c r="H7" s="47">
        <f aca="true" t="shared" si="5" ref="H7:H25">G7/D7</f>
        <v>58.99131684266664</v>
      </c>
      <c r="I7" s="42"/>
      <c r="J7" s="44" t="s">
        <v>2</v>
      </c>
      <c r="K7" s="42"/>
      <c r="L7" s="42"/>
      <c r="M7" s="44">
        <v>0.015</v>
      </c>
      <c r="N7" s="44">
        <v>0.00999</v>
      </c>
      <c r="O7" s="44">
        <f t="shared" si="1"/>
        <v>0.02499</v>
      </c>
      <c r="P7" s="44">
        <v>6610</v>
      </c>
      <c r="Q7" s="47">
        <f t="shared" si="2"/>
        <v>165.1839</v>
      </c>
      <c r="R7" s="50">
        <f t="shared" si="3"/>
        <v>2946.880776</v>
      </c>
    </row>
    <row r="8" spans="1:18" ht="12.75">
      <c r="A8" s="2" t="s">
        <v>2</v>
      </c>
      <c r="B8" s="44">
        <v>44.1</v>
      </c>
      <c r="C8" s="44">
        <v>480</v>
      </c>
      <c r="D8" s="44">
        <f t="shared" si="0"/>
        <v>524.1</v>
      </c>
      <c r="E8" s="51">
        <v>37.79</v>
      </c>
      <c r="F8" s="44">
        <v>826</v>
      </c>
      <c r="G8" s="47">
        <f t="shared" si="4"/>
        <v>31214.54</v>
      </c>
      <c r="H8" s="47">
        <f t="shared" si="5"/>
        <v>59.55836672390765</v>
      </c>
      <c r="I8" s="42"/>
      <c r="J8" s="44" t="s">
        <v>3</v>
      </c>
      <c r="K8" s="42"/>
      <c r="L8" s="42"/>
      <c r="M8" s="44">
        <v>0.008</v>
      </c>
      <c r="N8" s="44">
        <v>0.004711</v>
      </c>
      <c r="O8" s="44">
        <f t="shared" si="1"/>
        <v>0.012711</v>
      </c>
      <c r="P8" s="44">
        <v>6343.9</v>
      </c>
      <c r="Q8" s="47">
        <f t="shared" si="2"/>
        <v>80.6373129</v>
      </c>
      <c r="R8" s="50">
        <f t="shared" si="3"/>
        <v>1438.569662136</v>
      </c>
    </row>
    <row r="9" spans="1:18" ht="12.75">
      <c r="A9" s="2" t="s">
        <v>3</v>
      </c>
      <c r="B9" s="44">
        <v>783.8</v>
      </c>
      <c r="C9" s="44"/>
      <c r="D9" s="44">
        <f t="shared" si="0"/>
        <v>783.8</v>
      </c>
      <c r="E9" s="51">
        <v>58.37</v>
      </c>
      <c r="F9" s="44">
        <v>826</v>
      </c>
      <c r="G9" s="47">
        <f t="shared" si="4"/>
        <v>48213.619999999995</v>
      </c>
      <c r="H9" s="47">
        <f t="shared" si="5"/>
        <v>61.51265628986986</v>
      </c>
      <c r="I9" s="42"/>
      <c r="J9" s="44" t="s">
        <v>4</v>
      </c>
      <c r="K9" s="42"/>
      <c r="L9" s="42"/>
      <c r="M9" s="44">
        <v>0.013</v>
      </c>
      <c r="N9" s="44">
        <v>0.00704</v>
      </c>
      <c r="O9" s="44">
        <f t="shared" si="1"/>
        <v>0.02004</v>
      </c>
      <c r="P9" s="44">
        <v>5987.4</v>
      </c>
      <c r="Q9" s="47">
        <f t="shared" si="2"/>
        <v>119.98749599999998</v>
      </c>
      <c r="R9" s="50">
        <f t="shared" si="3"/>
        <v>2140.5769286399996</v>
      </c>
    </row>
    <row r="10" spans="1:18" ht="12.75">
      <c r="A10" s="2" t="s">
        <v>4</v>
      </c>
      <c r="B10" s="44">
        <v>510.82</v>
      </c>
      <c r="C10" s="44"/>
      <c r="D10" s="44">
        <f t="shared" si="0"/>
        <v>510.82</v>
      </c>
      <c r="E10" s="51">
        <v>37.43</v>
      </c>
      <c r="F10" s="44">
        <v>826</v>
      </c>
      <c r="G10" s="47">
        <f t="shared" si="4"/>
        <v>30917.18</v>
      </c>
      <c r="H10" s="47">
        <f t="shared" si="5"/>
        <v>60.52460749383344</v>
      </c>
      <c r="I10" s="42"/>
      <c r="J10" s="44" t="s">
        <v>5</v>
      </c>
      <c r="K10" s="42"/>
      <c r="L10" s="42"/>
      <c r="M10" s="44">
        <v>0.016</v>
      </c>
      <c r="N10" s="44">
        <v>0.00986</v>
      </c>
      <c r="O10" s="44">
        <f t="shared" si="1"/>
        <v>0.02586</v>
      </c>
      <c r="P10" s="44">
        <v>5514.1</v>
      </c>
      <c r="Q10" s="47">
        <f t="shared" si="2"/>
        <v>142.594626</v>
      </c>
      <c r="R10" s="50">
        <f t="shared" si="3"/>
        <v>2543.88812784</v>
      </c>
    </row>
    <row r="11" spans="1:18" ht="12.75">
      <c r="A11" s="2" t="s">
        <v>5</v>
      </c>
      <c r="B11" s="44">
        <v>565.23</v>
      </c>
      <c r="C11" s="44"/>
      <c r="D11" s="44">
        <f t="shared" si="0"/>
        <v>565.23</v>
      </c>
      <c r="E11" s="51">
        <v>43.17</v>
      </c>
      <c r="F11" s="44">
        <v>826</v>
      </c>
      <c r="G11" s="47">
        <f t="shared" si="4"/>
        <v>35658.42</v>
      </c>
      <c r="H11" s="47">
        <f t="shared" si="5"/>
        <v>63.08656653043893</v>
      </c>
      <c r="I11" s="42"/>
      <c r="J11" s="44" t="s">
        <v>6</v>
      </c>
      <c r="K11" s="42"/>
      <c r="L11" s="42"/>
      <c r="M11" s="44">
        <v>0.017</v>
      </c>
      <c r="N11" s="44">
        <v>0.009306</v>
      </c>
      <c r="O11" s="44">
        <f t="shared" si="1"/>
        <v>0.026306000000000003</v>
      </c>
      <c r="P11" s="44">
        <v>7253</v>
      </c>
      <c r="Q11" s="47">
        <f t="shared" si="2"/>
        <v>190.79741800000002</v>
      </c>
      <c r="R11" s="50">
        <f t="shared" si="3"/>
        <v>3403.82593712</v>
      </c>
    </row>
    <row r="12" spans="1:18" ht="12.75">
      <c r="A12" s="2" t="s">
        <v>6</v>
      </c>
      <c r="B12" s="44">
        <v>37.173</v>
      </c>
      <c r="C12" s="44">
        <v>273</v>
      </c>
      <c r="D12" s="44">
        <f t="shared" si="0"/>
        <v>310.173</v>
      </c>
      <c r="E12" s="51">
        <v>22.75</v>
      </c>
      <c r="F12" s="44">
        <v>826</v>
      </c>
      <c r="G12" s="47">
        <f t="shared" si="4"/>
        <v>18791.5</v>
      </c>
      <c r="H12" s="47">
        <f t="shared" si="5"/>
        <v>60.58393219267957</v>
      </c>
      <c r="I12" s="42"/>
      <c r="J12" s="44" t="s">
        <v>7</v>
      </c>
      <c r="K12" s="42"/>
      <c r="L12" s="42"/>
      <c r="M12" s="44"/>
      <c r="N12" s="44"/>
      <c r="O12" s="44">
        <f t="shared" si="1"/>
        <v>0</v>
      </c>
      <c r="P12" s="44"/>
      <c r="Q12" s="47">
        <f t="shared" si="2"/>
        <v>0</v>
      </c>
      <c r="R12" s="50">
        <f t="shared" si="3"/>
        <v>0</v>
      </c>
    </row>
    <row r="13" spans="1:18" ht="12.75">
      <c r="A13" s="2" t="s">
        <v>7</v>
      </c>
      <c r="B13" s="44">
        <v>0.631</v>
      </c>
      <c r="C13" s="44"/>
      <c r="D13" s="44"/>
      <c r="E13" s="51">
        <v>0.04</v>
      </c>
      <c r="F13" s="44"/>
      <c r="G13" s="47"/>
      <c r="H13" s="47"/>
      <c r="I13" s="42"/>
      <c r="J13" s="44" t="s">
        <v>8</v>
      </c>
      <c r="K13" s="42"/>
      <c r="L13" s="42"/>
      <c r="M13" s="44">
        <v>0.016</v>
      </c>
      <c r="N13" s="44">
        <v>0.00853</v>
      </c>
      <c r="O13" s="44">
        <f t="shared" si="1"/>
        <v>0.02453</v>
      </c>
      <c r="P13" s="44">
        <v>3718.8</v>
      </c>
      <c r="Q13" s="47">
        <f t="shared" si="2"/>
        <v>91.222164</v>
      </c>
      <c r="R13" s="50">
        <f t="shared" si="3"/>
        <v>1627.4034057600002</v>
      </c>
    </row>
    <row r="14" spans="1:18" ht="12.75">
      <c r="A14" s="2" t="s">
        <v>8</v>
      </c>
      <c r="B14" s="44">
        <v>410.04</v>
      </c>
      <c r="C14" s="44"/>
      <c r="D14" s="44">
        <f aca="true" t="shared" si="6" ref="D14:D24">B14+C14</f>
        <v>410.04</v>
      </c>
      <c r="E14" s="51">
        <v>30.83</v>
      </c>
      <c r="F14" s="44">
        <v>826</v>
      </c>
      <c r="G14" s="47">
        <f t="shared" si="4"/>
        <v>25465.579999999998</v>
      </c>
      <c r="H14" s="47">
        <f t="shared" si="5"/>
        <v>62.105111696419854</v>
      </c>
      <c r="I14" s="42"/>
      <c r="J14" s="44" t="s">
        <v>9</v>
      </c>
      <c r="K14" s="42"/>
      <c r="L14" s="42"/>
      <c r="M14" s="44">
        <v>0.018</v>
      </c>
      <c r="N14" s="44">
        <v>0.00954</v>
      </c>
      <c r="O14" s="44">
        <f t="shared" si="1"/>
        <v>0.02754</v>
      </c>
      <c r="P14" s="44">
        <v>9274.6</v>
      </c>
      <c r="Q14" s="47">
        <f t="shared" si="2"/>
        <v>255.422484</v>
      </c>
      <c r="R14" s="50">
        <f t="shared" si="3"/>
        <v>4556.73711456</v>
      </c>
    </row>
    <row r="15" spans="1:18" ht="12.75">
      <c r="A15" s="2" t="s">
        <v>9</v>
      </c>
      <c r="B15" s="44">
        <v>679.946</v>
      </c>
      <c r="C15" s="44"/>
      <c r="D15" s="44">
        <f t="shared" si="6"/>
        <v>679.946</v>
      </c>
      <c r="E15" s="51">
        <v>51.04</v>
      </c>
      <c r="F15" s="44">
        <v>826</v>
      </c>
      <c r="G15" s="47">
        <f t="shared" si="4"/>
        <v>42159.04</v>
      </c>
      <c r="H15" s="47">
        <f t="shared" si="5"/>
        <v>62.003512043603465</v>
      </c>
      <c r="I15" s="42"/>
      <c r="J15" s="44" t="s">
        <v>10</v>
      </c>
      <c r="K15" s="42"/>
      <c r="L15" s="42"/>
      <c r="M15" s="44">
        <v>0.013</v>
      </c>
      <c r="N15" s="44">
        <v>0.00705</v>
      </c>
      <c r="O15" s="44">
        <f t="shared" si="1"/>
        <v>0.02005</v>
      </c>
      <c r="P15" s="44">
        <v>5976.4</v>
      </c>
      <c r="Q15" s="47">
        <f t="shared" si="2"/>
        <v>119.82681999999998</v>
      </c>
      <c r="R15" s="50">
        <f t="shared" si="3"/>
        <v>2137.7104687999995</v>
      </c>
    </row>
    <row r="16" spans="1:18" ht="12.75">
      <c r="A16" s="2" t="s">
        <v>10</v>
      </c>
      <c r="B16" s="44">
        <v>522.61</v>
      </c>
      <c r="C16" s="44"/>
      <c r="D16" s="44">
        <f t="shared" si="6"/>
        <v>522.61</v>
      </c>
      <c r="E16" s="51">
        <v>39.54</v>
      </c>
      <c r="F16" s="44">
        <v>826</v>
      </c>
      <c r="G16" s="47">
        <f>E16*F16</f>
        <v>32660.04</v>
      </c>
      <c r="H16" s="47">
        <f t="shared" si="5"/>
        <v>62.494096936530106</v>
      </c>
      <c r="I16" s="42"/>
      <c r="J16" s="44" t="s">
        <v>11</v>
      </c>
      <c r="K16" s="42"/>
      <c r="L16" s="42"/>
      <c r="M16" s="44">
        <v>0.015</v>
      </c>
      <c r="N16" s="44">
        <v>0.0081</v>
      </c>
      <c r="O16" s="44">
        <f t="shared" si="1"/>
        <v>0.0231</v>
      </c>
      <c r="P16" s="44">
        <v>3323</v>
      </c>
      <c r="Q16" s="47">
        <f t="shared" si="2"/>
        <v>76.76129999999999</v>
      </c>
      <c r="R16" s="50">
        <f t="shared" si="3"/>
        <v>1369.421592</v>
      </c>
    </row>
    <row r="17" spans="1:18" ht="12.75">
      <c r="A17" s="2" t="s">
        <v>11</v>
      </c>
      <c r="B17" s="44">
        <v>329.36</v>
      </c>
      <c r="C17" s="44"/>
      <c r="D17" s="44">
        <f t="shared" si="6"/>
        <v>329.36</v>
      </c>
      <c r="E17" s="51">
        <v>24.56</v>
      </c>
      <c r="F17" s="44">
        <v>826</v>
      </c>
      <c r="G17" s="47">
        <f t="shared" si="4"/>
        <v>20286.559999999998</v>
      </c>
      <c r="H17" s="47">
        <f t="shared" si="5"/>
        <v>61.59387903813455</v>
      </c>
      <c r="I17" s="42"/>
      <c r="J17" s="44" t="s">
        <v>12</v>
      </c>
      <c r="K17" s="42"/>
      <c r="L17" s="42"/>
      <c r="M17" s="44">
        <v>0.012</v>
      </c>
      <c r="N17" s="44">
        <v>0.00657</v>
      </c>
      <c r="O17" s="44">
        <f t="shared" si="1"/>
        <v>0.01857</v>
      </c>
      <c r="P17" s="44">
        <v>6352.8</v>
      </c>
      <c r="Q17" s="47">
        <f t="shared" si="2"/>
        <v>117.971496</v>
      </c>
      <c r="R17" s="50">
        <f t="shared" si="3"/>
        <v>2104.61148864</v>
      </c>
    </row>
    <row r="18" spans="1:18" ht="12.75">
      <c r="A18" s="2" t="s">
        <v>12</v>
      </c>
      <c r="B18" s="44">
        <v>765.39</v>
      </c>
      <c r="C18" s="44"/>
      <c r="D18" s="44">
        <f t="shared" si="6"/>
        <v>765.39</v>
      </c>
      <c r="E18" s="51">
        <v>57.54</v>
      </c>
      <c r="F18" s="44">
        <v>826</v>
      </c>
      <c r="G18" s="47">
        <f t="shared" si="4"/>
        <v>47528.04</v>
      </c>
      <c r="H18" s="47">
        <f t="shared" si="5"/>
        <v>62.09649982361933</v>
      </c>
      <c r="I18" s="42"/>
      <c r="J18" s="44" t="s">
        <v>13</v>
      </c>
      <c r="K18" s="42"/>
      <c r="L18" s="42"/>
      <c r="M18" s="44">
        <v>0.037</v>
      </c>
      <c r="N18" s="44">
        <v>0.02026</v>
      </c>
      <c r="O18" s="44">
        <f t="shared" si="1"/>
        <v>0.05726</v>
      </c>
      <c r="P18" s="44">
        <v>4188.1</v>
      </c>
      <c r="Q18" s="47">
        <f t="shared" si="2"/>
        <v>239.810606</v>
      </c>
      <c r="R18" s="50">
        <f t="shared" si="3"/>
        <v>4278.2212110400005</v>
      </c>
    </row>
    <row r="19" spans="1:18" ht="12.75">
      <c r="A19" s="2" t="s">
        <v>13</v>
      </c>
      <c r="B19" s="44">
        <v>730.4</v>
      </c>
      <c r="C19" s="44"/>
      <c r="D19" s="44">
        <f t="shared" si="6"/>
        <v>730.4</v>
      </c>
      <c r="E19" s="51">
        <v>50.23</v>
      </c>
      <c r="F19" s="44">
        <v>826</v>
      </c>
      <c r="G19" s="47">
        <f t="shared" si="4"/>
        <v>41489.979999999996</v>
      </c>
      <c r="H19" s="47">
        <f t="shared" si="5"/>
        <v>56.80446330777656</v>
      </c>
      <c r="I19" s="42"/>
      <c r="J19" s="44" t="s">
        <v>14</v>
      </c>
      <c r="K19" s="42"/>
      <c r="L19" s="42"/>
      <c r="M19" s="44">
        <v>0.013</v>
      </c>
      <c r="N19" s="44">
        <v>0.00706</v>
      </c>
      <c r="O19" s="44">
        <f t="shared" si="1"/>
        <v>0.02006</v>
      </c>
      <c r="P19" s="44">
        <v>3911.5</v>
      </c>
      <c r="Q19" s="47">
        <f t="shared" si="2"/>
        <v>78.46469</v>
      </c>
      <c r="R19" s="50">
        <f t="shared" si="3"/>
        <v>1399.8100696000001</v>
      </c>
    </row>
    <row r="20" spans="1:18" ht="12.75">
      <c r="A20" s="2" t="s">
        <v>14</v>
      </c>
      <c r="B20" s="44">
        <v>457.86</v>
      </c>
      <c r="C20" s="44"/>
      <c r="D20" s="44">
        <f t="shared" si="6"/>
        <v>457.86</v>
      </c>
      <c r="E20" s="51">
        <v>34.1</v>
      </c>
      <c r="F20" s="44">
        <v>826</v>
      </c>
      <c r="G20" s="47">
        <f>E20*F20</f>
        <v>28166.600000000002</v>
      </c>
      <c r="H20" s="47">
        <f t="shared" si="5"/>
        <v>61.517931245358845</v>
      </c>
      <c r="I20" s="42"/>
      <c r="J20" s="44" t="s">
        <v>15</v>
      </c>
      <c r="K20" s="42"/>
      <c r="L20" s="42"/>
      <c r="M20" s="44">
        <v>0.016</v>
      </c>
      <c r="N20" s="44">
        <v>0.00894</v>
      </c>
      <c r="O20" s="44">
        <f t="shared" si="1"/>
        <v>0.02494</v>
      </c>
      <c r="P20" s="44">
        <v>5485.6</v>
      </c>
      <c r="Q20" s="47">
        <f t="shared" si="2"/>
        <v>136.810864</v>
      </c>
      <c r="R20" s="50">
        <f t="shared" si="3"/>
        <v>2440.70581376</v>
      </c>
    </row>
    <row r="21" spans="1:18" ht="12.75">
      <c r="A21" s="2" t="s">
        <v>15</v>
      </c>
      <c r="B21" s="44">
        <v>727.4</v>
      </c>
      <c r="C21" s="44"/>
      <c r="D21" s="44">
        <f t="shared" si="6"/>
        <v>727.4</v>
      </c>
      <c r="E21" s="51">
        <v>56.58</v>
      </c>
      <c r="F21" s="44">
        <v>826</v>
      </c>
      <c r="G21" s="47">
        <f t="shared" si="4"/>
        <v>46735.08</v>
      </c>
      <c r="H21" s="47">
        <f t="shared" si="5"/>
        <v>64.24949133901568</v>
      </c>
      <c r="I21" s="42"/>
      <c r="J21" s="44" t="s">
        <v>16</v>
      </c>
      <c r="K21" s="42"/>
      <c r="L21" s="42"/>
      <c r="M21" s="44">
        <v>0.009</v>
      </c>
      <c r="N21" s="44">
        <v>0.00501</v>
      </c>
      <c r="O21" s="44">
        <f t="shared" si="1"/>
        <v>0.014009999999999998</v>
      </c>
      <c r="P21" s="44">
        <v>4673.4</v>
      </c>
      <c r="Q21" s="47">
        <f t="shared" si="2"/>
        <v>65.47433399999998</v>
      </c>
      <c r="R21" s="50">
        <f t="shared" si="3"/>
        <v>1168.0621185599998</v>
      </c>
    </row>
    <row r="22" spans="1:18" ht="15.75" customHeight="1">
      <c r="A22" s="2" t="s">
        <v>16</v>
      </c>
      <c r="B22" s="44">
        <v>440.07</v>
      </c>
      <c r="C22" s="44"/>
      <c r="D22" s="44">
        <f t="shared" si="6"/>
        <v>440.07</v>
      </c>
      <c r="E22" s="51">
        <v>32.72</v>
      </c>
      <c r="F22" s="44">
        <v>826</v>
      </c>
      <c r="G22" s="47">
        <f t="shared" si="4"/>
        <v>27026.719999999998</v>
      </c>
      <c r="H22" s="47">
        <f t="shared" si="5"/>
        <v>61.41459313291067</v>
      </c>
      <c r="I22" s="42"/>
      <c r="J22" s="44" t="s">
        <v>42</v>
      </c>
      <c r="K22" s="42"/>
      <c r="L22" s="42"/>
      <c r="M22" s="44">
        <v>0.018</v>
      </c>
      <c r="N22" s="44">
        <v>0.011716</v>
      </c>
      <c r="O22" s="44">
        <f t="shared" si="1"/>
        <v>0.029716</v>
      </c>
      <c r="P22" s="44">
        <v>6784.7</v>
      </c>
      <c r="Q22" s="47">
        <f t="shared" si="2"/>
        <v>201.6141452</v>
      </c>
      <c r="R22" s="50">
        <f t="shared" si="3"/>
        <v>3596.796350368</v>
      </c>
    </row>
    <row r="23" spans="1:18" ht="15.75" customHeight="1">
      <c r="A23" s="2" t="s">
        <v>42</v>
      </c>
      <c r="B23" s="44">
        <v>124.1</v>
      </c>
      <c r="C23" s="44">
        <v>476</v>
      </c>
      <c r="D23" s="44">
        <f t="shared" si="6"/>
        <v>600.1</v>
      </c>
      <c r="E23" s="51">
        <v>44.19</v>
      </c>
      <c r="F23" s="44">
        <v>826</v>
      </c>
      <c r="G23" s="47">
        <f t="shared" si="4"/>
        <v>36500.939999999995</v>
      </c>
      <c r="H23" s="47">
        <f t="shared" si="5"/>
        <v>60.824762539576724</v>
      </c>
      <c r="I23" s="42"/>
      <c r="J23" s="47" t="s">
        <v>49</v>
      </c>
      <c r="K23" s="42"/>
      <c r="L23" s="42"/>
      <c r="M23" s="44"/>
      <c r="N23" s="44"/>
      <c r="O23" s="44">
        <f t="shared" si="1"/>
        <v>0</v>
      </c>
      <c r="P23" s="42"/>
      <c r="Q23" s="42"/>
      <c r="R23" s="42"/>
    </row>
    <row r="24" spans="1:18" ht="12.75">
      <c r="A24" s="20" t="s">
        <v>49</v>
      </c>
      <c r="B24" s="43"/>
      <c r="C24" s="44"/>
      <c r="D24" s="44">
        <f t="shared" si="6"/>
        <v>0</v>
      </c>
      <c r="E24" s="44"/>
      <c r="F24" s="44">
        <v>826</v>
      </c>
      <c r="G24" s="47">
        <f t="shared" si="4"/>
        <v>0</v>
      </c>
      <c r="H24" s="47" t="e">
        <f t="shared" si="5"/>
        <v>#DIV/0!</v>
      </c>
      <c r="I24" s="42"/>
      <c r="J24" s="51"/>
      <c r="K24" s="42"/>
      <c r="L24" s="42"/>
      <c r="M24" s="44"/>
      <c r="N24" s="44"/>
      <c r="O24" s="44"/>
      <c r="P24" s="42"/>
      <c r="Q24" s="42"/>
      <c r="R24" s="42"/>
    </row>
    <row r="25" spans="1:18" ht="12.75">
      <c r="A25" s="21"/>
      <c r="B25" s="44"/>
      <c r="C25" s="44">
        <f>C31+SUM(SUM(SUM(C6:C24)))</f>
        <v>3495</v>
      </c>
      <c r="D25" s="44">
        <f>SUM(SUM(D6:D24))</f>
        <v>10708.386999999999</v>
      </c>
      <c r="E25" s="47">
        <f>SUM(E6:E24)</f>
        <v>787.6100000000001</v>
      </c>
      <c r="F25" s="44"/>
      <c r="G25" s="47">
        <f>SUM(SUM(G6:G24))</f>
        <v>650532.8199999998</v>
      </c>
      <c r="H25" s="47">
        <f t="shared" si="5"/>
        <v>60.749842156433076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ht="12.75">
      <c r="A26" s="12"/>
    </row>
    <row r="27" ht="12.75">
      <c r="A27" s="12"/>
    </row>
    <row r="28" ht="12.75">
      <c r="A28" s="13"/>
    </row>
    <row r="29" spans="1:4" ht="12.75">
      <c r="A29" s="13"/>
      <c r="B29" s="10"/>
      <c r="C29" s="10"/>
      <c r="D29" s="10"/>
    </row>
    <row r="30" spans="1:4" ht="12.75">
      <c r="A30" s="13"/>
      <c r="B30" s="10"/>
      <c r="C30" s="10"/>
      <c r="D30" s="10"/>
    </row>
    <row r="31" spans="1:4" ht="12.75">
      <c r="A31" s="6"/>
      <c r="B31" s="10"/>
      <c r="C31" s="10"/>
      <c r="D31" s="10"/>
    </row>
    <row r="32" spans="2:4" ht="12.75">
      <c r="B32" s="10"/>
      <c r="C32" s="10"/>
      <c r="D32" s="10"/>
    </row>
    <row r="33" spans="2:4" ht="12.75">
      <c r="B33" s="10"/>
      <c r="C33" s="10"/>
      <c r="D33" s="10"/>
    </row>
    <row r="34" ht="12.75">
      <c r="B34" s="11"/>
    </row>
  </sheetData>
  <sheetProtection/>
  <mergeCells count="2">
    <mergeCell ref="B2:D2"/>
    <mergeCell ref="E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V26"/>
  <sheetViews>
    <sheetView view="pageLayout" workbookViewId="0" topLeftCell="C2">
      <selection activeCell="O10" sqref="O10"/>
    </sheetView>
  </sheetViews>
  <sheetFormatPr defaultColWidth="9.00390625" defaultRowHeight="12.75"/>
  <cols>
    <col min="2" max="2" width="16.625" style="0" customWidth="1"/>
    <col min="3" max="3" width="6.875" style="0" customWidth="1"/>
    <col min="4" max="4" width="7.125" style="0" customWidth="1"/>
    <col min="5" max="5" width="7.375" style="0" customWidth="1"/>
    <col min="6" max="11" width="7.875" style="0" customWidth="1"/>
    <col min="12" max="13" width="7.75390625" style="0" customWidth="1"/>
    <col min="14" max="14" width="6.875" style="0" customWidth="1"/>
    <col min="15" max="15" width="7.375" style="0" bestFit="1" customWidth="1"/>
    <col min="16" max="16" width="10.00390625" style="0" customWidth="1"/>
    <col min="17" max="17" width="8.375" style="0" customWidth="1"/>
    <col min="18" max="18" width="10.125" style="0" customWidth="1"/>
  </cols>
  <sheetData>
    <row r="1" spans="4:20" ht="12.75">
      <c r="D1" s="287" t="s">
        <v>95</v>
      </c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</row>
    <row r="2" ht="12.75">
      <c r="P2">
        <v>0</v>
      </c>
    </row>
    <row r="3" spans="5:16" ht="12.75">
      <c r="E3" s="287" t="s">
        <v>98</v>
      </c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5" spans="2:20" ht="12.75">
      <c r="B5" s="1"/>
      <c r="C5" s="2" t="s">
        <v>78</v>
      </c>
      <c r="D5" s="2" t="s">
        <v>23</v>
      </c>
      <c r="E5" s="2" t="s">
        <v>79</v>
      </c>
      <c r="F5" s="22" t="s">
        <v>87</v>
      </c>
      <c r="G5" s="22"/>
      <c r="H5" s="22"/>
      <c r="I5" s="22"/>
      <c r="J5" s="22"/>
      <c r="K5" s="22"/>
      <c r="L5" s="2" t="s">
        <v>80</v>
      </c>
      <c r="M5" s="2" t="s">
        <v>81</v>
      </c>
      <c r="N5" s="2" t="s">
        <v>82</v>
      </c>
      <c r="O5" s="22" t="s">
        <v>83</v>
      </c>
      <c r="P5" s="2" t="s">
        <v>88</v>
      </c>
      <c r="Q5" s="22"/>
      <c r="R5" s="2" t="s">
        <v>84</v>
      </c>
      <c r="S5" s="2" t="s">
        <v>85</v>
      </c>
      <c r="T5" s="2" t="s">
        <v>86</v>
      </c>
    </row>
    <row r="6" spans="2:20" ht="12.75">
      <c r="B6" s="2" t="s">
        <v>0</v>
      </c>
      <c r="C6" s="2">
        <v>82.031</v>
      </c>
      <c r="D6" s="2">
        <v>15.49</v>
      </c>
      <c r="E6" s="2">
        <v>991.2</v>
      </c>
      <c r="F6" s="20">
        <f aca="true" t="shared" si="0" ref="F6:F25">C6*D6/E6</f>
        <v>1.281941273204197</v>
      </c>
      <c r="G6" s="20">
        <v>207.683</v>
      </c>
      <c r="H6" s="20">
        <v>14.34</v>
      </c>
      <c r="I6" s="20">
        <v>991.2</v>
      </c>
      <c r="J6" s="20">
        <f>F6+K6</f>
        <v>4.286556103712671</v>
      </c>
      <c r="K6" s="20">
        <f>G6*H6/I6</f>
        <v>3.004614830508474</v>
      </c>
      <c r="L6" s="20">
        <v>202</v>
      </c>
      <c r="M6" s="2">
        <v>13.46</v>
      </c>
      <c r="N6" s="41">
        <v>991.2</v>
      </c>
      <c r="O6" s="40">
        <f>L6*M6/N6</f>
        <v>2.7430589184826473</v>
      </c>
      <c r="P6" s="53">
        <v>195.95</v>
      </c>
      <c r="Q6" s="4">
        <f>F6+K6+O6+P6</f>
        <v>202.9796150221953</v>
      </c>
      <c r="R6" s="1">
        <f aca="true" t="shared" si="1" ref="R6:R25">Q6*N6</f>
        <v>201193.39441</v>
      </c>
      <c r="S6" s="4">
        <f>C6+G6+L6</f>
        <v>491.714</v>
      </c>
      <c r="T6" s="4">
        <f aca="true" t="shared" si="2" ref="T6:T23">R6/S6</f>
        <v>409.1675128428314</v>
      </c>
    </row>
    <row r="7" spans="2:21" ht="12.75">
      <c r="B7" s="2" t="s">
        <v>1</v>
      </c>
      <c r="C7" s="2">
        <v>12.311</v>
      </c>
      <c r="D7" s="2">
        <v>15.49</v>
      </c>
      <c r="E7" s="2">
        <v>991.2</v>
      </c>
      <c r="F7" s="20">
        <f t="shared" si="0"/>
        <v>0.1923904257465698</v>
      </c>
      <c r="G7" s="20">
        <v>20.025</v>
      </c>
      <c r="H7" s="20">
        <v>14.34</v>
      </c>
      <c r="I7" s="20">
        <v>991.2</v>
      </c>
      <c r="J7" s="20">
        <f aca="true" t="shared" si="3" ref="J7:J25">F7+K7</f>
        <v>0.4820983555286521</v>
      </c>
      <c r="K7" s="20">
        <f aca="true" t="shared" si="4" ref="K7:K25">G7*H7/I7</f>
        <v>0.2897079297820823</v>
      </c>
      <c r="L7" s="20">
        <v>800</v>
      </c>
      <c r="M7" s="2">
        <v>13.46</v>
      </c>
      <c r="N7" s="41">
        <v>991.2</v>
      </c>
      <c r="O7" s="20">
        <f>L7*M7/N7</f>
        <v>10.863599677158998</v>
      </c>
      <c r="P7" s="53">
        <v>248.09</v>
      </c>
      <c r="Q7" s="4">
        <f aca="true" t="shared" si="5" ref="Q7:Q25">F7+K7+O7+P7</f>
        <v>259.43569803268764</v>
      </c>
      <c r="R7" s="1">
        <f t="shared" si="1"/>
        <v>257152.66389</v>
      </c>
      <c r="S7" s="4">
        <f aca="true" t="shared" si="6" ref="S7:S25">C7+G7+L7</f>
        <v>832.336</v>
      </c>
      <c r="T7" s="4">
        <f t="shared" si="2"/>
        <v>308.9529515604275</v>
      </c>
      <c r="U7" s="6"/>
    </row>
    <row r="8" spans="2:21" ht="12.75">
      <c r="B8" s="2" t="s">
        <v>2</v>
      </c>
      <c r="C8" s="2">
        <v>18.3</v>
      </c>
      <c r="D8" s="2">
        <v>15.49</v>
      </c>
      <c r="E8" s="2">
        <v>991.2</v>
      </c>
      <c r="F8" s="20">
        <f t="shared" si="0"/>
        <v>0.2859836561743342</v>
      </c>
      <c r="G8" s="20">
        <v>32.7</v>
      </c>
      <c r="H8" s="20">
        <v>14.34</v>
      </c>
      <c r="I8" s="20">
        <v>991.2</v>
      </c>
      <c r="J8" s="20">
        <f t="shared" si="3"/>
        <v>0.7590647699757871</v>
      </c>
      <c r="K8" s="20">
        <f t="shared" si="4"/>
        <v>0.47308111380145285</v>
      </c>
      <c r="L8" s="20">
        <v>509</v>
      </c>
      <c r="M8" s="2">
        <v>13.46</v>
      </c>
      <c r="N8" s="41">
        <v>991.2</v>
      </c>
      <c r="O8" s="20">
        <f>L8*M8/N8</f>
        <v>6.911965294592413</v>
      </c>
      <c r="P8" s="53">
        <v>168.31</v>
      </c>
      <c r="Q8" s="4">
        <f t="shared" si="5"/>
        <v>175.9810300645682</v>
      </c>
      <c r="R8" s="20">
        <f t="shared" si="1"/>
        <v>174432.397</v>
      </c>
      <c r="S8" s="4">
        <f t="shared" si="6"/>
        <v>560</v>
      </c>
      <c r="T8" s="4">
        <f t="shared" si="2"/>
        <v>311.4864232142857</v>
      </c>
      <c r="U8" s="6"/>
    </row>
    <row r="9" spans="2:22" ht="12.75">
      <c r="B9" s="2" t="s">
        <v>3</v>
      </c>
      <c r="C9" s="2">
        <v>231.7</v>
      </c>
      <c r="D9" s="2">
        <v>15.49</v>
      </c>
      <c r="E9" s="2">
        <v>991.2</v>
      </c>
      <c r="F9" s="20">
        <f t="shared" si="0"/>
        <v>3.620896892655367</v>
      </c>
      <c r="G9" s="20">
        <v>407.64</v>
      </c>
      <c r="H9" s="20">
        <v>14.34</v>
      </c>
      <c r="I9" s="20">
        <v>991.2</v>
      </c>
      <c r="J9" s="20">
        <f t="shared" si="3"/>
        <v>9.518352098466504</v>
      </c>
      <c r="K9" s="20">
        <f t="shared" si="4"/>
        <v>5.897455205811138</v>
      </c>
      <c r="L9" s="2"/>
      <c r="M9" s="2">
        <v>13.46</v>
      </c>
      <c r="N9" s="41">
        <v>991.2</v>
      </c>
      <c r="O9" s="20">
        <f aca="true" t="shared" si="7" ref="O9:O22">F9*L9/M9</f>
        <v>0</v>
      </c>
      <c r="P9" s="54">
        <v>184.485</v>
      </c>
      <c r="Q9" s="4">
        <f t="shared" si="5"/>
        <v>194.0033520984665</v>
      </c>
      <c r="R9" s="20">
        <f t="shared" si="1"/>
        <v>192296.1226</v>
      </c>
      <c r="S9" s="4">
        <f t="shared" si="6"/>
        <v>639.3399999999999</v>
      </c>
      <c r="T9" s="4">
        <f t="shared" si="2"/>
        <v>300.7728635780649</v>
      </c>
      <c r="U9" s="6"/>
      <c r="V9" s="6"/>
    </row>
    <row r="10" spans="2:21" ht="12.75">
      <c r="B10" s="2" t="s">
        <v>4</v>
      </c>
      <c r="C10" s="2">
        <v>153.7</v>
      </c>
      <c r="D10" s="2">
        <v>15.49</v>
      </c>
      <c r="E10" s="2">
        <v>991.2</v>
      </c>
      <c r="F10" s="20">
        <f t="shared" si="0"/>
        <v>2.4019501614205</v>
      </c>
      <c r="G10" s="20">
        <v>285.08</v>
      </c>
      <c r="H10" s="20">
        <v>14.34</v>
      </c>
      <c r="I10" s="20">
        <v>991.2</v>
      </c>
      <c r="J10" s="20">
        <f t="shared" si="3"/>
        <v>6.526291565778854</v>
      </c>
      <c r="K10" s="20">
        <f t="shared" si="4"/>
        <v>4.124341404358353</v>
      </c>
      <c r="L10" s="20"/>
      <c r="M10" s="2">
        <v>13.46</v>
      </c>
      <c r="N10" s="41">
        <v>991.2</v>
      </c>
      <c r="O10" s="20">
        <f t="shared" si="7"/>
        <v>0</v>
      </c>
      <c r="P10" s="53">
        <v>138.978</v>
      </c>
      <c r="Q10" s="4">
        <f t="shared" si="5"/>
        <v>145.50429156577886</v>
      </c>
      <c r="R10" s="20">
        <f t="shared" si="1"/>
        <v>144223.8538</v>
      </c>
      <c r="S10" s="4">
        <f t="shared" si="6"/>
        <v>438.78</v>
      </c>
      <c r="T10" s="4">
        <f t="shared" si="2"/>
        <v>328.69286157071883</v>
      </c>
      <c r="U10" s="6"/>
    </row>
    <row r="11" spans="2:21" ht="12.75">
      <c r="B11" s="2" t="s">
        <v>5</v>
      </c>
      <c r="C11" s="2">
        <v>181.4</v>
      </c>
      <c r="D11" s="2">
        <v>15.49</v>
      </c>
      <c r="E11" s="2">
        <v>991.2</v>
      </c>
      <c r="F11" s="20">
        <f t="shared" si="0"/>
        <v>2.8348325262308314</v>
      </c>
      <c r="G11" s="20">
        <v>314.87</v>
      </c>
      <c r="H11" s="20">
        <v>14.34</v>
      </c>
      <c r="I11" s="20">
        <v>991.2</v>
      </c>
      <c r="J11" s="20">
        <f t="shared" si="3"/>
        <v>7.390155165456013</v>
      </c>
      <c r="K11" s="20">
        <f t="shared" si="4"/>
        <v>4.5553226392251815</v>
      </c>
      <c r="L11" s="20"/>
      <c r="M11" s="2">
        <v>13.46</v>
      </c>
      <c r="N11" s="41">
        <v>991.2</v>
      </c>
      <c r="O11" s="20">
        <f t="shared" si="7"/>
        <v>0</v>
      </c>
      <c r="P11" s="53">
        <v>155.365</v>
      </c>
      <c r="Q11" s="4">
        <f t="shared" si="5"/>
        <v>162.75515516545602</v>
      </c>
      <c r="R11" s="20">
        <f t="shared" si="1"/>
        <v>161322.90980000002</v>
      </c>
      <c r="S11" s="4">
        <f t="shared" si="6"/>
        <v>496.27</v>
      </c>
      <c r="T11" s="4">
        <f t="shared" si="2"/>
        <v>325.07084812702766</v>
      </c>
      <c r="U11" s="6"/>
    </row>
    <row r="12" spans="2:21" ht="12.75">
      <c r="B12" s="2" t="s">
        <v>6</v>
      </c>
      <c r="C12" s="2">
        <v>14.109</v>
      </c>
      <c r="D12" s="2">
        <v>15.49</v>
      </c>
      <c r="E12" s="2">
        <v>991.2</v>
      </c>
      <c r="F12" s="20">
        <f t="shared" si="0"/>
        <v>0.220488710653753</v>
      </c>
      <c r="G12" s="20">
        <v>21.729</v>
      </c>
      <c r="H12" s="20">
        <v>14.34</v>
      </c>
      <c r="I12" s="20">
        <v>991.2</v>
      </c>
      <c r="J12" s="20">
        <f t="shared" si="3"/>
        <v>0.5348489406779661</v>
      </c>
      <c r="K12" s="20">
        <f t="shared" si="4"/>
        <v>0.3143602300242131</v>
      </c>
      <c r="L12" s="20">
        <v>292</v>
      </c>
      <c r="M12" s="2">
        <v>13.46</v>
      </c>
      <c r="N12" s="41">
        <v>991.2</v>
      </c>
      <c r="O12" s="20">
        <f>L12*M12/N12</f>
        <v>3.9652138821630345</v>
      </c>
      <c r="P12" s="53">
        <v>167.711</v>
      </c>
      <c r="Q12" s="4">
        <f t="shared" si="5"/>
        <v>172.211062822841</v>
      </c>
      <c r="R12" s="20">
        <f t="shared" si="1"/>
        <v>170695.60547</v>
      </c>
      <c r="S12" s="4">
        <f t="shared" si="6"/>
        <v>327.838</v>
      </c>
      <c r="T12" s="4">
        <f>R12/S12</f>
        <v>520.6705917861871</v>
      </c>
      <c r="U12" s="6"/>
    </row>
    <row r="13" spans="2:21" ht="12.75">
      <c r="B13" s="2" t="s">
        <v>96</v>
      </c>
      <c r="C13" s="2">
        <v>0.268</v>
      </c>
      <c r="D13" s="2">
        <v>15.49</v>
      </c>
      <c r="E13" s="2">
        <v>991.2</v>
      </c>
      <c r="F13" s="20">
        <f t="shared" si="0"/>
        <v>0.00418817594834544</v>
      </c>
      <c r="G13" s="20">
        <v>0.464</v>
      </c>
      <c r="H13" s="20">
        <v>14.34</v>
      </c>
      <c r="I13" s="20">
        <v>991.2</v>
      </c>
      <c r="J13" s="20">
        <f t="shared" si="3"/>
        <v>0.010901008878127522</v>
      </c>
      <c r="K13" s="20">
        <f t="shared" si="4"/>
        <v>0.006712832929782082</v>
      </c>
      <c r="L13" s="20"/>
      <c r="M13" s="2">
        <v>13.46</v>
      </c>
      <c r="N13" s="41">
        <v>991.2</v>
      </c>
      <c r="O13" s="20">
        <f t="shared" si="7"/>
        <v>0</v>
      </c>
      <c r="P13" s="53">
        <v>17.477</v>
      </c>
      <c r="Q13" s="4">
        <f t="shared" si="5"/>
        <v>17.48790100887813</v>
      </c>
      <c r="R13" s="20">
        <f t="shared" si="1"/>
        <v>17334.007480000004</v>
      </c>
      <c r="S13" s="4">
        <f t="shared" si="6"/>
        <v>0.732</v>
      </c>
      <c r="T13" s="4">
        <v>78.28</v>
      </c>
      <c r="U13" s="6"/>
    </row>
    <row r="14" spans="2:21" ht="12.75">
      <c r="B14" s="2" t="s">
        <v>8</v>
      </c>
      <c r="C14" s="2">
        <v>113.95</v>
      </c>
      <c r="D14" s="2">
        <v>15.49</v>
      </c>
      <c r="E14" s="2">
        <v>991.2</v>
      </c>
      <c r="F14" s="20">
        <f t="shared" si="0"/>
        <v>1.780756154156578</v>
      </c>
      <c r="G14" s="20">
        <v>221.18</v>
      </c>
      <c r="H14" s="20">
        <v>14.34</v>
      </c>
      <c r="I14" s="20">
        <v>991.2</v>
      </c>
      <c r="J14" s="20">
        <f t="shared" si="3"/>
        <v>4.980636299435028</v>
      </c>
      <c r="K14" s="20">
        <f t="shared" si="4"/>
        <v>3.19988014527845</v>
      </c>
      <c r="L14" s="20"/>
      <c r="M14" s="2">
        <v>13.46</v>
      </c>
      <c r="N14" s="41">
        <v>991.2</v>
      </c>
      <c r="O14" s="20">
        <f t="shared" si="7"/>
        <v>0</v>
      </c>
      <c r="P14" s="53">
        <v>100.392</v>
      </c>
      <c r="Q14" s="4">
        <f t="shared" si="5"/>
        <v>105.37263629943503</v>
      </c>
      <c r="R14" s="20">
        <f t="shared" si="1"/>
        <v>104445.35710000001</v>
      </c>
      <c r="S14" s="4">
        <f t="shared" si="6"/>
        <v>335.13</v>
      </c>
      <c r="T14" s="4">
        <f t="shared" si="2"/>
        <v>311.6562441440635</v>
      </c>
      <c r="U14" s="6"/>
    </row>
    <row r="15" spans="2:21" ht="12.75">
      <c r="B15" s="2" t="s">
        <v>9</v>
      </c>
      <c r="C15" s="2">
        <v>206.071</v>
      </c>
      <c r="D15" s="2">
        <v>15.49</v>
      </c>
      <c r="E15" s="2">
        <v>991.2</v>
      </c>
      <c r="F15" s="20">
        <f t="shared" si="0"/>
        <v>3.220379126311541</v>
      </c>
      <c r="G15" s="20">
        <v>378.897</v>
      </c>
      <c r="H15" s="20">
        <v>14.34</v>
      </c>
      <c r="I15" s="20">
        <v>991.2</v>
      </c>
      <c r="J15" s="20">
        <f t="shared" si="3"/>
        <v>8.702000373284907</v>
      </c>
      <c r="K15" s="20">
        <f t="shared" si="4"/>
        <v>5.481621246973365</v>
      </c>
      <c r="L15" s="20"/>
      <c r="M15" s="2">
        <v>13.46</v>
      </c>
      <c r="N15" s="41">
        <v>991.2</v>
      </c>
      <c r="O15" s="20">
        <f t="shared" si="7"/>
        <v>0</v>
      </c>
      <c r="P15" s="53">
        <v>253.77</v>
      </c>
      <c r="Q15" s="4">
        <f t="shared" si="5"/>
        <v>262.4720003732849</v>
      </c>
      <c r="R15" s="20">
        <f t="shared" si="1"/>
        <v>260162.24677000003</v>
      </c>
      <c r="S15" s="4">
        <f t="shared" si="6"/>
        <v>584.968</v>
      </c>
      <c r="T15" s="4">
        <f t="shared" si="2"/>
        <v>444.74611734317097</v>
      </c>
      <c r="U15" s="6"/>
    </row>
    <row r="16" spans="2:22" ht="12.75">
      <c r="B16" s="2" t="s">
        <v>10</v>
      </c>
      <c r="C16" s="2">
        <v>173</v>
      </c>
      <c r="D16" s="2">
        <v>15.49</v>
      </c>
      <c r="E16" s="2">
        <v>991.2</v>
      </c>
      <c r="F16" s="20">
        <f t="shared" si="0"/>
        <v>2.703561339790153</v>
      </c>
      <c r="G16" s="20">
        <v>300.2</v>
      </c>
      <c r="H16" s="20">
        <v>14.34</v>
      </c>
      <c r="I16" s="20">
        <v>991.2</v>
      </c>
      <c r="J16" s="20">
        <f t="shared" si="3"/>
        <v>7.04664850686037</v>
      </c>
      <c r="K16" s="20">
        <f t="shared" si="4"/>
        <v>4.343087167070217</v>
      </c>
      <c r="L16" s="2"/>
      <c r="M16" s="2">
        <v>13.46</v>
      </c>
      <c r="N16" s="41">
        <v>991.2</v>
      </c>
      <c r="O16" s="20">
        <f t="shared" si="7"/>
        <v>0</v>
      </c>
      <c r="P16" s="54">
        <v>129.99</v>
      </c>
      <c r="Q16" s="4">
        <f t="shared" si="5"/>
        <v>137.0366485068604</v>
      </c>
      <c r="R16" s="20">
        <f t="shared" si="1"/>
        <v>135830.72600000002</v>
      </c>
      <c r="S16" s="4">
        <f t="shared" si="6"/>
        <v>473.2</v>
      </c>
      <c r="T16" s="4">
        <f t="shared" si="2"/>
        <v>287.0471808960271</v>
      </c>
      <c r="U16" s="6"/>
      <c r="V16" s="6"/>
    </row>
    <row r="17" spans="2:21" ht="12.75">
      <c r="B17" s="2" t="s">
        <v>11</v>
      </c>
      <c r="C17" s="2">
        <v>102.58</v>
      </c>
      <c r="D17" s="2">
        <v>15.49</v>
      </c>
      <c r="E17" s="2">
        <v>991.2</v>
      </c>
      <c r="F17" s="20">
        <f t="shared" si="0"/>
        <v>1.603071226795803</v>
      </c>
      <c r="G17" s="20">
        <v>202.75</v>
      </c>
      <c r="H17" s="20">
        <v>14.34</v>
      </c>
      <c r="I17" s="20">
        <v>991.2</v>
      </c>
      <c r="J17" s="20">
        <f t="shared" si="3"/>
        <v>4.536318805488296</v>
      </c>
      <c r="K17" s="20">
        <f t="shared" si="4"/>
        <v>2.9332475786924936</v>
      </c>
      <c r="L17" s="20"/>
      <c r="M17" s="2">
        <v>13.46</v>
      </c>
      <c r="N17" s="41">
        <v>991.2</v>
      </c>
      <c r="O17" s="20">
        <f t="shared" si="7"/>
        <v>0</v>
      </c>
      <c r="P17" s="53">
        <v>98.873</v>
      </c>
      <c r="Q17" s="4">
        <f t="shared" si="5"/>
        <v>103.4093188054883</v>
      </c>
      <c r="R17" s="20">
        <f t="shared" si="1"/>
        <v>102499.3168</v>
      </c>
      <c r="S17" s="4">
        <f t="shared" si="6"/>
        <v>305.33</v>
      </c>
      <c r="T17" s="4">
        <f t="shared" si="2"/>
        <v>335.7001172501883</v>
      </c>
      <c r="U17" s="6"/>
    </row>
    <row r="18" spans="2:21" ht="12.75">
      <c r="B18" s="2" t="s">
        <v>12</v>
      </c>
      <c r="C18" s="2">
        <v>217.1</v>
      </c>
      <c r="D18" s="2">
        <v>15.49</v>
      </c>
      <c r="E18" s="2">
        <v>991.2</v>
      </c>
      <c r="F18" s="20">
        <f t="shared" si="0"/>
        <v>3.3927350686037125</v>
      </c>
      <c r="G18" s="20">
        <v>386.7</v>
      </c>
      <c r="H18" s="20">
        <v>14.34</v>
      </c>
      <c r="I18" s="20">
        <v>991.2</v>
      </c>
      <c r="J18" s="20">
        <f t="shared" si="3"/>
        <v>8.987244753833735</v>
      </c>
      <c r="K18" s="20">
        <f t="shared" si="4"/>
        <v>5.594509685230023</v>
      </c>
      <c r="L18" s="20"/>
      <c r="M18" s="2">
        <v>13.46</v>
      </c>
      <c r="N18" s="41">
        <v>991.2</v>
      </c>
      <c r="O18" s="20">
        <f t="shared" si="7"/>
        <v>0</v>
      </c>
      <c r="P18" s="53">
        <v>185.553</v>
      </c>
      <c r="Q18" s="4">
        <f t="shared" si="5"/>
        <v>194.54024475383375</v>
      </c>
      <c r="R18" s="20">
        <f t="shared" si="1"/>
        <v>192828.2906</v>
      </c>
      <c r="S18" s="4">
        <f t="shared" si="6"/>
        <v>603.8</v>
      </c>
      <c r="T18" s="4">
        <f t="shared" si="2"/>
        <v>319.3578843988076</v>
      </c>
      <c r="U18" s="6"/>
    </row>
    <row r="19" spans="2:21" ht="12.75">
      <c r="B19" s="2" t="s">
        <v>13</v>
      </c>
      <c r="C19" s="2">
        <v>236.74</v>
      </c>
      <c r="D19" s="2">
        <v>15.49</v>
      </c>
      <c r="E19" s="2">
        <v>991.2</v>
      </c>
      <c r="F19" s="20">
        <f t="shared" si="0"/>
        <v>3.699659604519774</v>
      </c>
      <c r="G19" s="20">
        <v>426.26</v>
      </c>
      <c r="H19" s="20">
        <v>14.34</v>
      </c>
      <c r="I19" s="20">
        <v>991.2</v>
      </c>
      <c r="J19" s="20">
        <f t="shared" si="3"/>
        <v>9.866496166263115</v>
      </c>
      <c r="K19" s="20">
        <f t="shared" si="4"/>
        <v>6.166836561743342</v>
      </c>
      <c r="L19" s="20"/>
      <c r="M19" s="2">
        <v>13.46</v>
      </c>
      <c r="N19" s="41">
        <v>991.2</v>
      </c>
      <c r="O19" s="20">
        <f t="shared" si="7"/>
        <v>0</v>
      </c>
      <c r="P19" s="53">
        <v>167.916</v>
      </c>
      <c r="Q19" s="4">
        <f t="shared" si="5"/>
        <v>177.78249616626312</v>
      </c>
      <c r="R19" s="20">
        <f t="shared" si="1"/>
        <v>176218.01020000002</v>
      </c>
      <c r="S19" s="4">
        <f t="shared" si="6"/>
        <v>663</v>
      </c>
      <c r="T19" s="4">
        <f t="shared" si="2"/>
        <v>265.78885399698345</v>
      </c>
      <c r="U19" s="6"/>
    </row>
    <row r="20" spans="2:21" ht="12.75">
      <c r="B20" s="2" t="s">
        <v>14</v>
      </c>
      <c r="C20" s="2">
        <v>80.7</v>
      </c>
      <c r="D20" s="2">
        <v>15.49</v>
      </c>
      <c r="E20" s="2">
        <v>991.2</v>
      </c>
      <c r="F20" s="20">
        <f t="shared" si="0"/>
        <v>1.2611410411622277</v>
      </c>
      <c r="G20" s="20">
        <v>160.4</v>
      </c>
      <c r="H20" s="20">
        <v>14.34</v>
      </c>
      <c r="I20" s="20">
        <v>991.2</v>
      </c>
      <c r="J20" s="20">
        <f t="shared" si="3"/>
        <v>3.5816979418886197</v>
      </c>
      <c r="K20" s="20">
        <f t="shared" si="4"/>
        <v>2.320556900726392</v>
      </c>
      <c r="L20" s="20"/>
      <c r="M20" s="2">
        <v>13.46</v>
      </c>
      <c r="N20" s="41">
        <v>991.2</v>
      </c>
      <c r="O20" s="20">
        <f t="shared" si="7"/>
        <v>0</v>
      </c>
      <c r="P20" s="53">
        <v>97.647</v>
      </c>
      <c r="Q20" s="4">
        <f t="shared" si="5"/>
        <v>101.22869794188863</v>
      </c>
      <c r="R20" s="20">
        <f t="shared" si="1"/>
        <v>100337.88540000001</v>
      </c>
      <c r="S20" s="4">
        <f t="shared" si="6"/>
        <v>241.10000000000002</v>
      </c>
      <c r="T20" s="4">
        <f t="shared" si="2"/>
        <v>416.16709000414767</v>
      </c>
      <c r="U20" s="6"/>
    </row>
    <row r="21" spans="2:21" ht="12.75">
      <c r="B21" s="2" t="s">
        <v>15</v>
      </c>
      <c r="C21" s="2">
        <v>250.25</v>
      </c>
      <c r="D21" s="2">
        <v>15.49</v>
      </c>
      <c r="E21" s="2">
        <v>991.2</v>
      </c>
      <c r="F21" s="20">
        <f t="shared" si="0"/>
        <v>3.910787429378531</v>
      </c>
      <c r="G21" s="20">
        <v>432.25</v>
      </c>
      <c r="H21" s="20">
        <v>14.34</v>
      </c>
      <c r="I21" s="20">
        <v>991.2</v>
      </c>
      <c r="J21" s="20">
        <f t="shared" si="3"/>
        <v>10.164283192090394</v>
      </c>
      <c r="K21" s="20">
        <f t="shared" si="4"/>
        <v>6.253495762711864</v>
      </c>
      <c r="L21" s="20"/>
      <c r="M21" s="2">
        <v>13.46</v>
      </c>
      <c r="N21" s="41">
        <v>991.2</v>
      </c>
      <c r="O21" s="20">
        <f t="shared" si="7"/>
        <v>0</v>
      </c>
      <c r="P21" s="53">
        <v>165.93</v>
      </c>
      <c r="Q21" s="4">
        <f t="shared" si="5"/>
        <v>176.09428319209042</v>
      </c>
      <c r="R21" s="20">
        <f t="shared" si="1"/>
        <v>174544.65350000001</v>
      </c>
      <c r="S21" s="4">
        <f t="shared" si="6"/>
        <v>682.5</v>
      </c>
      <c r="T21" s="4">
        <f t="shared" si="2"/>
        <v>255.74308205128207</v>
      </c>
      <c r="U21" s="6"/>
    </row>
    <row r="22" spans="2:21" ht="12.75">
      <c r="B22" s="2" t="s">
        <v>16</v>
      </c>
      <c r="C22" s="2">
        <v>148.63</v>
      </c>
      <c r="D22" s="2">
        <v>15.49</v>
      </c>
      <c r="E22" s="2">
        <v>991.2</v>
      </c>
      <c r="F22" s="20">
        <f t="shared" si="0"/>
        <v>2.3227186238902338</v>
      </c>
      <c r="G22" s="20">
        <v>282.16</v>
      </c>
      <c r="H22" s="20">
        <v>14.34</v>
      </c>
      <c r="I22" s="20">
        <v>991.2</v>
      </c>
      <c r="J22" s="20">
        <f t="shared" si="3"/>
        <v>6.404815476190476</v>
      </c>
      <c r="K22" s="20">
        <f t="shared" si="4"/>
        <v>4.082096852300242</v>
      </c>
      <c r="L22" s="20"/>
      <c r="M22" s="2">
        <v>13.46</v>
      </c>
      <c r="N22" s="41">
        <v>991.2</v>
      </c>
      <c r="O22" s="20">
        <f t="shared" si="7"/>
        <v>0</v>
      </c>
      <c r="P22" s="53">
        <v>135.282</v>
      </c>
      <c r="Q22" s="4">
        <f t="shared" si="5"/>
        <v>141.68681547619047</v>
      </c>
      <c r="R22" s="20">
        <f t="shared" si="1"/>
        <v>140439.9715</v>
      </c>
      <c r="S22" s="4">
        <f t="shared" si="6"/>
        <v>430.79</v>
      </c>
      <c r="T22" s="4">
        <f t="shared" si="2"/>
        <v>326.00564428143645</v>
      </c>
      <c r="U22" s="6"/>
    </row>
    <row r="23" spans="2:21" ht="12.75">
      <c r="B23" s="2" t="s">
        <v>42</v>
      </c>
      <c r="C23" s="2">
        <v>142</v>
      </c>
      <c r="D23" s="2">
        <v>15.49</v>
      </c>
      <c r="E23" s="2">
        <v>991.2</v>
      </c>
      <c r="F23" s="20">
        <f t="shared" si="0"/>
        <v>2.21910815173527</v>
      </c>
      <c r="G23" s="20">
        <v>269.4</v>
      </c>
      <c r="H23" s="20">
        <v>14.34</v>
      </c>
      <c r="I23" s="20">
        <v>991.2</v>
      </c>
      <c r="J23" s="20">
        <f t="shared" si="3"/>
        <v>6.116602098466505</v>
      </c>
      <c r="K23" s="20">
        <f t="shared" si="4"/>
        <v>3.897493946731234</v>
      </c>
      <c r="L23" s="20">
        <v>435</v>
      </c>
      <c r="M23" s="2">
        <v>13.46</v>
      </c>
      <c r="N23" s="41">
        <v>991.2</v>
      </c>
      <c r="O23" s="20">
        <f>L23*M23/N23</f>
        <v>5.907082324455206</v>
      </c>
      <c r="P23" s="53">
        <v>119.98</v>
      </c>
      <c r="Q23" s="4">
        <f t="shared" si="5"/>
        <v>132.0036844229217</v>
      </c>
      <c r="R23" s="20">
        <f t="shared" si="1"/>
        <v>130842.052</v>
      </c>
      <c r="S23" s="4">
        <f t="shared" si="6"/>
        <v>846.4</v>
      </c>
      <c r="T23" s="4">
        <f t="shared" si="2"/>
        <v>154.58654536862005</v>
      </c>
      <c r="U23" s="6"/>
    </row>
    <row r="24" spans="2:21" ht="12.75">
      <c r="B24" s="20" t="s">
        <v>49</v>
      </c>
      <c r="C24" s="19">
        <v>95</v>
      </c>
      <c r="D24" s="2">
        <v>15.49</v>
      </c>
      <c r="E24" s="2">
        <v>991.2</v>
      </c>
      <c r="F24" s="20">
        <f t="shared" si="0"/>
        <v>1.4846146085552865</v>
      </c>
      <c r="G24" s="20">
        <v>165</v>
      </c>
      <c r="H24" s="20">
        <v>14.34</v>
      </c>
      <c r="I24" s="20">
        <v>991.2</v>
      </c>
      <c r="J24" s="20">
        <f t="shared" si="3"/>
        <v>3.8717211460855525</v>
      </c>
      <c r="K24" s="20">
        <f t="shared" si="4"/>
        <v>2.3871065375302662</v>
      </c>
      <c r="L24" s="2"/>
      <c r="M24" s="2">
        <v>13.46</v>
      </c>
      <c r="N24" s="41">
        <v>991.2</v>
      </c>
      <c r="O24" s="20">
        <f>L24*M24/N24</f>
        <v>0</v>
      </c>
      <c r="P24" s="53">
        <v>23.92</v>
      </c>
      <c r="Q24" s="4">
        <f t="shared" si="5"/>
        <v>27.791721146085553</v>
      </c>
      <c r="R24" s="20">
        <f t="shared" si="1"/>
        <v>27547.154000000002</v>
      </c>
      <c r="S24" s="4">
        <f t="shared" si="6"/>
        <v>260</v>
      </c>
      <c r="T24" s="4">
        <f>R24/S24</f>
        <v>105.95059230769232</v>
      </c>
      <c r="U24" s="6"/>
    </row>
    <row r="25" spans="2:21" ht="12.75">
      <c r="B25" s="20" t="s">
        <v>97</v>
      </c>
      <c r="C25" s="19">
        <v>29.6</v>
      </c>
      <c r="D25" s="2">
        <v>15.49</v>
      </c>
      <c r="E25" s="2">
        <v>991.2</v>
      </c>
      <c r="F25" s="20">
        <f t="shared" si="0"/>
        <v>0.4625746569814366</v>
      </c>
      <c r="G25" s="20">
        <v>44.6</v>
      </c>
      <c r="H25" s="20">
        <v>14.34</v>
      </c>
      <c r="I25" s="20">
        <v>991.2</v>
      </c>
      <c r="J25" s="20">
        <f t="shared" si="3"/>
        <v>1.107816787732042</v>
      </c>
      <c r="K25" s="20">
        <f t="shared" si="4"/>
        <v>0.6452421307506052</v>
      </c>
      <c r="L25" s="2">
        <v>27</v>
      </c>
      <c r="M25" s="2">
        <v>13.46</v>
      </c>
      <c r="N25" s="41">
        <v>991.2</v>
      </c>
      <c r="O25" s="20">
        <f>L25*M25/N25</f>
        <v>0.36664648910411624</v>
      </c>
      <c r="P25" s="53">
        <v>62.91</v>
      </c>
      <c r="Q25" s="4">
        <f t="shared" si="5"/>
        <v>64.38446327683616</v>
      </c>
      <c r="R25" s="20">
        <f t="shared" si="1"/>
        <v>63817.880000000005</v>
      </c>
      <c r="S25" s="4">
        <f t="shared" si="6"/>
        <v>101.2</v>
      </c>
      <c r="T25" s="4"/>
      <c r="U25" s="6"/>
    </row>
    <row r="26" spans="2:20" ht="12.75">
      <c r="B26" s="1" t="s">
        <v>89</v>
      </c>
      <c r="C26" s="1"/>
      <c r="D26" s="1"/>
      <c r="E26" s="1"/>
      <c r="F26" s="20">
        <f>SUM(F6:F25)</f>
        <v>38.90377885391444</v>
      </c>
      <c r="G26" s="20"/>
      <c r="H26" s="20"/>
      <c r="I26" s="20"/>
      <c r="J26" s="20">
        <f>SUM(J6:J25)</f>
        <v>104.87454955609363</v>
      </c>
      <c r="K26" s="20">
        <f>SUM(K6:K25)</f>
        <v>65.97077070217917</v>
      </c>
      <c r="L26" s="4">
        <f>L6+L7+L8+L12+L23+L25</f>
        <v>2265</v>
      </c>
      <c r="M26" s="1"/>
      <c r="N26" s="1"/>
      <c r="O26" s="1">
        <f>SUM(O6:O24)</f>
        <v>30.3909200968523</v>
      </c>
      <c r="P26" s="26">
        <f>SUM(P6:P25)</f>
        <v>2818.529</v>
      </c>
      <c r="Q26" s="4">
        <f>SUM(Q6:Q25)</f>
        <v>2954.1611161420497</v>
      </c>
      <c r="R26" s="20">
        <f>SUM(R6:R25)</f>
        <v>2928164.4983200002</v>
      </c>
      <c r="S26" s="4">
        <f>SUM(S6:S24)</f>
        <v>9213.228000000001</v>
      </c>
      <c r="T26" s="1"/>
    </row>
  </sheetData>
  <sheetProtection/>
  <mergeCells count="2">
    <mergeCell ref="D1:T1"/>
    <mergeCell ref="E3:P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98"/>
  <sheetViews>
    <sheetView zoomScalePageLayoutView="0" workbookViewId="0" topLeftCell="A82">
      <selection activeCell="M100" sqref="M100"/>
    </sheetView>
  </sheetViews>
  <sheetFormatPr defaultColWidth="9.00390625" defaultRowHeight="12.75"/>
  <cols>
    <col min="1" max="1" width="20.625" style="0" customWidth="1"/>
    <col min="2" max="2" width="7.375" style="0" customWidth="1"/>
    <col min="3" max="3" width="6.25390625" style="0" customWidth="1"/>
    <col min="4" max="4" width="9.75390625" style="0" bestFit="1" customWidth="1"/>
    <col min="5" max="5" width="9.625" style="0" bestFit="1" customWidth="1"/>
    <col min="6" max="6" width="5.375" style="0" customWidth="1"/>
    <col min="7" max="7" width="5.75390625" style="0" customWidth="1"/>
    <col min="9" max="9" width="9.625" style="0" customWidth="1"/>
    <col min="10" max="10" width="10.375" style="0" customWidth="1"/>
  </cols>
  <sheetData>
    <row r="2" spans="1:12" ht="12.75">
      <c r="A2" s="287" t="s">
        <v>76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1" ht="12.75">
      <c r="A3" s="1"/>
      <c r="B3" s="1" t="s">
        <v>44</v>
      </c>
      <c r="C3" s="1" t="s">
        <v>32</v>
      </c>
      <c r="D3" s="1" t="s">
        <v>33</v>
      </c>
      <c r="E3" s="1" t="s">
        <v>34</v>
      </c>
      <c r="F3" s="1" t="s">
        <v>35</v>
      </c>
      <c r="G3" s="1" t="s">
        <v>36</v>
      </c>
      <c r="H3" s="1" t="s">
        <v>33</v>
      </c>
      <c r="I3" s="1" t="s">
        <v>37</v>
      </c>
      <c r="J3" s="1" t="s">
        <v>38</v>
      </c>
      <c r="K3" s="7" t="s">
        <v>43</v>
      </c>
    </row>
    <row r="4" spans="1:11" ht="12.75">
      <c r="A4" s="1" t="s">
        <v>0</v>
      </c>
      <c r="B4" s="1">
        <v>25.175</v>
      </c>
      <c r="C4" s="1">
        <v>13.11</v>
      </c>
      <c r="D4" s="1">
        <v>826</v>
      </c>
      <c r="E4" s="4">
        <f>B4*C4/D4</f>
        <v>0.3995693099273607</v>
      </c>
      <c r="F4" s="1">
        <v>694</v>
      </c>
      <c r="G4" s="1">
        <v>12.24</v>
      </c>
      <c r="H4" s="1">
        <v>826</v>
      </c>
      <c r="I4" s="4">
        <f>F4*G4/H4</f>
        <v>10.283970944309926</v>
      </c>
      <c r="J4" s="1">
        <v>210.984</v>
      </c>
      <c r="K4" s="8">
        <f>E4+I4+J4</f>
        <v>221.66754025423728</v>
      </c>
    </row>
    <row r="5" spans="1:11" ht="12.75">
      <c r="A5" s="1" t="s">
        <v>1</v>
      </c>
      <c r="B5" s="1">
        <v>59.913</v>
      </c>
      <c r="C5" s="1">
        <v>13.11</v>
      </c>
      <c r="D5" s="1">
        <v>826</v>
      </c>
      <c r="E5" s="4">
        <f aca="true" t="shared" si="0" ref="E5:E21">B5*C5/D5</f>
        <v>0.9509194067796609</v>
      </c>
      <c r="F5" s="1">
        <v>572</v>
      </c>
      <c r="G5" s="1">
        <v>12.24</v>
      </c>
      <c r="H5" s="1">
        <v>826</v>
      </c>
      <c r="I5" s="4">
        <f aca="true" t="shared" si="1" ref="I5:I20">F5*G5/H5</f>
        <v>8.476125907990314</v>
      </c>
      <c r="J5" s="1">
        <v>220.749</v>
      </c>
      <c r="K5" s="8">
        <f aca="true" t="shared" si="2" ref="K5:K20">E5+I5+J5</f>
        <v>230.17604531476996</v>
      </c>
    </row>
    <row r="6" spans="1:11" ht="12.75">
      <c r="A6" s="1" t="s">
        <v>2</v>
      </c>
      <c r="B6" s="1">
        <v>44.1</v>
      </c>
      <c r="C6" s="1">
        <v>13.11</v>
      </c>
      <c r="D6" s="1">
        <v>826</v>
      </c>
      <c r="E6" s="4">
        <f t="shared" si="0"/>
        <v>0.6999406779661016</v>
      </c>
      <c r="F6" s="1">
        <v>480</v>
      </c>
      <c r="G6" s="1">
        <v>12.24</v>
      </c>
      <c r="H6" s="1">
        <v>826</v>
      </c>
      <c r="I6" s="4">
        <f t="shared" si="1"/>
        <v>7.1128329297820825</v>
      </c>
      <c r="J6" s="1">
        <v>143.9</v>
      </c>
      <c r="K6" s="8">
        <f t="shared" si="2"/>
        <v>151.7127736077482</v>
      </c>
    </row>
    <row r="7" spans="1:11" ht="12.75">
      <c r="A7" s="1" t="s">
        <v>3</v>
      </c>
      <c r="B7" s="1">
        <v>783.8</v>
      </c>
      <c r="C7" s="1">
        <v>13.11</v>
      </c>
      <c r="D7" s="1">
        <v>826</v>
      </c>
      <c r="E7" s="4">
        <f>B7*C7/D7</f>
        <v>12.440215496368037</v>
      </c>
      <c r="F7" s="1"/>
      <c r="G7" s="1">
        <v>12.24</v>
      </c>
      <c r="H7" s="1">
        <v>826</v>
      </c>
      <c r="I7" s="4">
        <f t="shared" si="1"/>
        <v>0</v>
      </c>
      <c r="J7" s="1">
        <v>159.012</v>
      </c>
      <c r="K7" s="8">
        <f t="shared" si="2"/>
        <v>171.45221549636804</v>
      </c>
    </row>
    <row r="8" spans="1:11" ht="12.75">
      <c r="A8" s="1" t="s">
        <v>4</v>
      </c>
      <c r="B8" s="1">
        <v>510.82</v>
      </c>
      <c r="C8" s="1">
        <v>13.11</v>
      </c>
      <c r="D8" s="1">
        <v>826</v>
      </c>
      <c r="E8" s="4">
        <f t="shared" si="0"/>
        <v>8.107566828087167</v>
      </c>
      <c r="F8" s="1"/>
      <c r="G8" s="1">
        <v>12.24</v>
      </c>
      <c r="H8" s="1">
        <v>826</v>
      </c>
      <c r="I8" s="4">
        <f t="shared" si="1"/>
        <v>0</v>
      </c>
      <c r="J8" s="1">
        <v>107.874</v>
      </c>
      <c r="K8" s="8">
        <f t="shared" si="2"/>
        <v>115.98156682808717</v>
      </c>
    </row>
    <row r="9" spans="1:11" ht="12.75">
      <c r="A9" s="1" t="s">
        <v>5</v>
      </c>
      <c r="B9" s="1">
        <v>565.23</v>
      </c>
      <c r="C9" s="1">
        <v>13.11</v>
      </c>
      <c r="D9" s="1">
        <v>826</v>
      </c>
      <c r="E9" s="4">
        <f t="shared" si="0"/>
        <v>8.971144430992736</v>
      </c>
      <c r="F9" s="1"/>
      <c r="G9" s="1">
        <v>12.24</v>
      </c>
      <c r="H9" s="1">
        <v>826</v>
      </c>
      <c r="I9" s="4">
        <f>F9*G9/H9</f>
        <v>0</v>
      </c>
      <c r="J9" s="1">
        <v>142.346</v>
      </c>
      <c r="K9" s="8">
        <f t="shared" si="2"/>
        <v>151.31714443099273</v>
      </c>
    </row>
    <row r="10" spans="1:11" ht="12.75">
      <c r="A10" s="1" t="s">
        <v>28</v>
      </c>
      <c r="B10" s="1">
        <v>37.173</v>
      </c>
      <c r="C10" s="1">
        <v>13.11</v>
      </c>
      <c r="D10" s="1">
        <v>826</v>
      </c>
      <c r="E10" s="4">
        <f t="shared" si="0"/>
        <v>0.5899976150121066</v>
      </c>
      <c r="F10" s="1">
        <v>273</v>
      </c>
      <c r="G10" s="1">
        <v>12.24</v>
      </c>
      <c r="H10" s="1">
        <v>826</v>
      </c>
      <c r="I10" s="4">
        <f t="shared" si="1"/>
        <v>4.045423728813559</v>
      </c>
      <c r="J10" s="1">
        <v>138.558</v>
      </c>
      <c r="K10" s="8">
        <f t="shared" si="2"/>
        <v>143.19342134382566</v>
      </c>
    </row>
    <row r="11" spans="1:11" ht="12.75">
      <c r="A11" s="1" t="s">
        <v>29</v>
      </c>
      <c r="B11" s="1">
        <v>0.631</v>
      </c>
      <c r="C11" s="1">
        <v>13.11</v>
      </c>
      <c r="D11" s="1">
        <v>826</v>
      </c>
      <c r="E11" s="4">
        <f t="shared" si="0"/>
        <v>0.010015024213075058</v>
      </c>
      <c r="F11" s="1"/>
      <c r="G11" s="1">
        <v>12.24</v>
      </c>
      <c r="H11" s="1">
        <v>826</v>
      </c>
      <c r="I11" s="4">
        <f t="shared" si="1"/>
        <v>0</v>
      </c>
      <c r="J11" s="1">
        <v>14.428</v>
      </c>
      <c r="K11" s="8">
        <f t="shared" si="2"/>
        <v>14.438015024213076</v>
      </c>
    </row>
    <row r="12" spans="1:11" ht="12.75">
      <c r="A12" s="1" t="s">
        <v>30</v>
      </c>
      <c r="B12" s="1">
        <v>410.04</v>
      </c>
      <c r="C12" s="1">
        <v>13.11</v>
      </c>
      <c r="D12" s="1">
        <v>826</v>
      </c>
      <c r="E12" s="4">
        <f t="shared" si="0"/>
        <v>6.5080198547215495</v>
      </c>
      <c r="F12" s="1"/>
      <c r="G12" s="1">
        <v>12.24</v>
      </c>
      <c r="H12" s="1">
        <v>826</v>
      </c>
      <c r="I12" s="4">
        <f t="shared" si="1"/>
        <v>0</v>
      </c>
      <c r="J12" s="1">
        <v>96.322</v>
      </c>
      <c r="K12" s="8">
        <f t="shared" si="2"/>
        <v>102.83001985472156</v>
      </c>
    </row>
    <row r="13" spans="1:11" ht="12.75">
      <c r="A13" s="1" t="s">
        <v>31</v>
      </c>
      <c r="B13" s="1">
        <v>679.946</v>
      </c>
      <c r="C13" s="1">
        <v>13.11</v>
      </c>
      <c r="D13" s="1">
        <v>826</v>
      </c>
      <c r="E13" s="4">
        <f t="shared" si="0"/>
        <v>10.791879007263924</v>
      </c>
      <c r="F13" s="1"/>
      <c r="G13" s="1">
        <v>12.24</v>
      </c>
      <c r="H13" s="1">
        <v>826</v>
      </c>
      <c r="I13" s="4">
        <f t="shared" si="1"/>
        <v>0</v>
      </c>
      <c r="J13" s="1">
        <v>223.035</v>
      </c>
      <c r="K13" s="8">
        <f t="shared" si="2"/>
        <v>233.82687900726393</v>
      </c>
    </row>
    <row r="14" spans="1:11" ht="12.75">
      <c r="A14" s="1" t="s">
        <v>10</v>
      </c>
      <c r="B14" s="1">
        <v>522.61</v>
      </c>
      <c r="C14" s="1">
        <v>13.11</v>
      </c>
      <c r="D14" s="1">
        <v>826</v>
      </c>
      <c r="E14" s="4">
        <f t="shared" si="0"/>
        <v>8.29469382566586</v>
      </c>
      <c r="F14" s="1"/>
      <c r="G14" s="1">
        <v>12.24</v>
      </c>
      <c r="H14" s="1">
        <v>826</v>
      </c>
      <c r="I14" s="4">
        <f t="shared" si="1"/>
        <v>0</v>
      </c>
      <c r="J14" s="1">
        <v>132.294</v>
      </c>
      <c r="K14" s="8">
        <f t="shared" si="2"/>
        <v>140.58869382566587</v>
      </c>
    </row>
    <row r="15" spans="1:11" ht="12.75">
      <c r="A15" s="1" t="s">
        <v>11</v>
      </c>
      <c r="B15" s="1">
        <v>329.36</v>
      </c>
      <c r="C15" s="1">
        <v>13.11</v>
      </c>
      <c r="D15" s="1">
        <v>826</v>
      </c>
      <c r="E15" s="4">
        <f>B15*C15/D15</f>
        <v>5.227493462469734</v>
      </c>
      <c r="F15" s="1"/>
      <c r="G15" s="1">
        <v>12.24</v>
      </c>
      <c r="H15" s="1">
        <v>826</v>
      </c>
      <c r="I15" s="4">
        <f t="shared" si="1"/>
        <v>0</v>
      </c>
      <c r="J15" s="1">
        <v>81.709</v>
      </c>
      <c r="K15" s="8">
        <f t="shared" si="2"/>
        <v>86.93649346246974</v>
      </c>
    </row>
    <row r="16" spans="1:11" ht="12.75">
      <c r="A16" s="1" t="s">
        <v>12</v>
      </c>
      <c r="B16" s="1">
        <v>765.39</v>
      </c>
      <c r="C16" s="1">
        <v>13.11</v>
      </c>
      <c r="D16" s="1">
        <v>826</v>
      </c>
      <c r="E16" s="4">
        <f t="shared" si="0"/>
        <v>12.14801803874092</v>
      </c>
      <c r="F16" s="1"/>
      <c r="G16" s="1">
        <v>12.24</v>
      </c>
      <c r="H16" s="1">
        <v>826</v>
      </c>
      <c r="I16" s="4">
        <f t="shared" si="1"/>
        <v>0</v>
      </c>
      <c r="J16" s="1">
        <v>156.584</v>
      </c>
      <c r="K16" s="8">
        <f t="shared" si="2"/>
        <v>168.73201803874093</v>
      </c>
    </row>
    <row r="17" spans="1:11" ht="12.75">
      <c r="A17" s="1" t="s">
        <v>13</v>
      </c>
      <c r="B17" s="1">
        <v>730.4</v>
      </c>
      <c r="C17" s="1">
        <v>13.11</v>
      </c>
      <c r="D17" s="1">
        <v>826</v>
      </c>
      <c r="E17" s="4">
        <f t="shared" si="0"/>
        <v>11.59266828087167</v>
      </c>
      <c r="F17" s="1"/>
      <c r="G17" s="1">
        <v>12.24</v>
      </c>
      <c r="H17" s="1">
        <v>826</v>
      </c>
      <c r="I17" s="4">
        <f t="shared" si="1"/>
        <v>0</v>
      </c>
      <c r="J17" s="1">
        <v>113.834</v>
      </c>
      <c r="K17" s="8">
        <f t="shared" si="2"/>
        <v>125.42666828087167</v>
      </c>
    </row>
    <row r="18" spans="1:11" ht="12.75">
      <c r="A18" s="1" t="s">
        <v>14</v>
      </c>
      <c r="B18" s="1">
        <v>457.86</v>
      </c>
      <c r="C18" s="1">
        <v>13.11</v>
      </c>
      <c r="D18" s="1">
        <v>826</v>
      </c>
      <c r="E18" s="4">
        <f t="shared" si="0"/>
        <v>7.267003147699758</v>
      </c>
      <c r="F18" s="1"/>
      <c r="G18" s="1">
        <v>12.24</v>
      </c>
      <c r="H18" s="1">
        <v>826</v>
      </c>
      <c r="I18" s="4">
        <f t="shared" si="1"/>
        <v>0</v>
      </c>
      <c r="J18" s="1">
        <v>91.716</v>
      </c>
      <c r="K18" s="8">
        <f t="shared" si="2"/>
        <v>98.98300314769975</v>
      </c>
    </row>
    <row r="19" spans="1:11" ht="12.75">
      <c r="A19" s="1" t="s">
        <v>15</v>
      </c>
      <c r="B19" s="1">
        <v>727.4</v>
      </c>
      <c r="C19" s="1">
        <v>13.11</v>
      </c>
      <c r="D19" s="1">
        <v>826</v>
      </c>
      <c r="E19" s="4">
        <f t="shared" si="0"/>
        <v>11.545053268765134</v>
      </c>
      <c r="F19" s="1"/>
      <c r="G19" s="1">
        <v>12.24</v>
      </c>
      <c r="H19" s="1">
        <v>826</v>
      </c>
      <c r="I19" s="4">
        <f t="shared" si="1"/>
        <v>0</v>
      </c>
      <c r="J19" s="1">
        <v>177.335</v>
      </c>
      <c r="K19" s="8">
        <f t="shared" si="2"/>
        <v>188.88005326876515</v>
      </c>
    </row>
    <row r="20" spans="1:11" ht="12.75">
      <c r="A20" s="1" t="s">
        <v>16</v>
      </c>
      <c r="B20" s="1">
        <v>440.07</v>
      </c>
      <c r="C20" s="1">
        <v>13.11</v>
      </c>
      <c r="D20" s="1">
        <v>826</v>
      </c>
      <c r="E20" s="4">
        <f t="shared" si="0"/>
        <v>6.9846461259079895</v>
      </c>
      <c r="F20" s="1"/>
      <c r="G20" s="1">
        <v>12.24</v>
      </c>
      <c r="H20" s="1">
        <v>826</v>
      </c>
      <c r="I20" s="4">
        <f t="shared" si="1"/>
        <v>0</v>
      </c>
      <c r="J20" s="1">
        <v>117.083</v>
      </c>
      <c r="K20" s="8">
        <f t="shared" si="2"/>
        <v>124.06764612590798</v>
      </c>
    </row>
    <row r="21" spans="1:11" ht="12.75">
      <c r="A21" s="1" t="s">
        <v>42</v>
      </c>
      <c r="B21" s="1">
        <v>124.1</v>
      </c>
      <c r="C21" s="1">
        <v>13.11</v>
      </c>
      <c r="D21" s="1">
        <v>826</v>
      </c>
      <c r="E21" s="4">
        <f t="shared" si="0"/>
        <v>1.9696743341404357</v>
      </c>
      <c r="F21" s="1">
        <v>476</v>
      </c>
      <c r="G21" s="1">
        <v>12.24</v>
      </c>
      <c r="H21" s="1">
        <v>826</v>
      </c>
      <c r="I21" s="4">
        <f>F21*G21/H21</f>
        <v>7.053559322033898</v>
      </c>
      <c r="J21" s="1">
        <v>117</v>
      </c>
      <c r="K21" s="8">
        <f>E21+I21+J21</f>
        <v>126.02323365617434</v>
      </c>
    </row>
    <row r="22" spans="1:11" ht="12.75">
      <c r="A22" s="1" t="s">
        <v>48</v>
      </c>
      <c r="B22" s="1"/>
      <c r="C22" s="1">
        <v>13.11</v>
      </c>
      <c r="D22" s="1">
        <v>826</v>
      </c>
      <c r="E22" s="4">
        <f>B22*C22/D22</f>
        <v>0</v>
      </c>
      <c r="F22" s="1"/>
      <c r="G22" s="1">
        <v>12.24</v>
      </c>
      <c r="H22" s="1">
        <v>826</v>
      </c>
      <c r="I22" s="4">
        <f>F22*G22/H22</f>
        <v>0</v>
      </c>
      <c r="J22" s="1"/>
      <c r="K22" s="8">
        <f>E22+I22+J22</f>
        <v>0</v>
      </c>
    </row>
    <row r="23" spans="1:11" ht="12.75">
      <c r="A23" s="7" t="s">
        <v>26</v>
      </c>
      <c r="B23" s="1">
        <f>SUM(SUM(B4:B22))</f>
        <v>7214.017999999999</v>
      </c>
      <c r="C23" s="1"/>
      <c r="D23" s="1"/>
      <c r="E23" s="8">
        <f>SUM(E4:E22)</f>
        <v>114.4985181355932</v>
      </c>
      <c r="F23" s="1">
        <f>SUM(F4:F22)</f>
        <v>2495</v>
      </c>
      <c r="G23" s="1"/>
      <c r="H23" s="1"/>
      <c r="I23" s="8">
        <f>SUM(I4:I22)</f>
        <v>36.97191283292978</v>
      </c>
      <c r="J23" s="7">
        <f>SUM(SUM(J4:J22))</f>
        <v>2444.7630000000004</v>
      </c>
      <c r="K23" s="8">
        <f>SUM(K4:K22)</f>
        <v>2596.2334309685234</v>
      </c>
    </row>
    <row r="24" spans="1:11" ht="12.75">
      <c r="A24" s="13"/>
      <c r="B24" s="6"/>
      <c r="C24" s="6"/>
      <c r="D24" s="6"/>
      <c r="E24" s="12"/>
      <c r="F24" s="6"/>
      <c r="G24" s="6"/>
      <c r="H24" s="6"/>
      <c r="I24" s="12"/>
      <c r="J24" s="13"/>
      <c r="K24" s="12"/>
    </row>
    <row r="25" spans="1:11" ht="12.75">
      <c r="A25" s="13"/>
      <c r="B25" s="6"/>
      <c r="C25" s="6"/>
      <c r="D25" s="6"/>
      <c r="E25" s="12"/>
      <c r="F25" s="6"/>
      <c r="G25" s="6"/>
      <c r="H25" s="6"/>
      <c r="I25" s="12"/>
      <c r="J25" s="13"/>
      <c r="K25" s="12"/>
    </row>
    <row r="26" spans="1:11" ht="12.75">
      <c r="A26" s="13"/>
      <c r="B26" s="6"/>
      <c r="C26" s="6"/>
      <c r="D26" s="6"/>
      <c r="E26" s="12"/>
      <c r="F26" s="6"/>
      <c r="G26" s="6"/>
      <c r="H26" s="6"/>
      <c r="I26" s="12"/>
      <c r="J26" s="13"/>
      <c r="K26" s="12"/>
    </row>
    <row r="27" spans="1:11" ht="12.75">
      <c r="A27" s="13"/>
      <c r="B27" s="6"/>
      <c r="C27" s="6"/>
      <c r="D27" s="6"/>
      <c r="E27" s="12"/>
      <c r="F27" s="6"/>
      <c r="G27" s="6"/>
      <c r="H27" s="6"/>
      <c r="I27" s="12"/>
      <c r="J27" s="13"/>
      <c r="K27" s="12"/>
    </row>
    <row r="28" spans="1:11" ht="12.75">
      <c r="A28" s="13"/>
      <c r="B28" s="6"/>
      <c r="C28" s="6"/>
      <c r="D28" s="6"/>
      <c r="E28" s="12"/>
      <c r="F28" s="6"/>
      <c r="G28" s="6"/>
      <c r="H28" s="6"/>
      <c r="I28" s="12"/>
      <c r="J28" s="13"/>
      <c r="K28" s="12"/>
    </row>
    <row r="29" spans="1:11" ht="12.75">
      <c r="A29" s="13"/>
      <c r="B29" s="6"/>
      <c r="C29" s="6"/>
      <c r="D29" s="6"/>
      <c r="E29" s="12"/>
      <c r="F29" s="6"/>
      <c r="G29" s="6"/>
      <c r="H29" s="6"/>
      <c r="I29" s="12"/>
      <c r="J29" s="13"/>
      <c r="K29" s="12"/>
    </row>
    <row r="30" spans="1:11" ht="12.75">
      <c r="A30" s="13"/>
      <c r="B30" s="6"/>
      <c r="C30" s="6"/>
      <c r="D30" s="6"/>
      <c r="E30" s="12"/>
      <c r="F30" s="6"/>
      <c r="G30" s="6"/>
      <c r="H30" s="6"/>
      <c r="I30" s="12"/>
      <c r="J30" s="13"/>
      <c r="K30" s="12"/>
    </row>
    <row r="31" spans="1:11" ht="12.75">
      <c r="A31" s="13"/>
      <c r="B31" s="6"/>
      <c r="C31" s="6"/>
      <c r="D31" s="6"/>
      <c r="E31" s="12"/>
      <c r="F31" s="6"/>
      <c r="G31" s="6"/>
      <c r="H31" s="6"/>
      <c r="I31" s="12"/>
      <c r="J31" s="13"/>
      <c r="K31" s="12"/>
    </row>
    <row r="32" spans="1:11" ht="12.75">
      <c r="A32" s="13"/>
      <c r="B32" s="6"/>
      <c r="C32" s="6"/>
      <c r="D32" s="6"/>
      <c r="E32" s="12"/>
      <c r="F32" s="6"/>
      <c r="G32" s="6"/>
      <c r="H32" s="6"/>
      <c r="I32" s="12"/>
      <c r="J32" s="13"/>
      <c r="K32" s="12"/>
    </row>
    <row r="33" spans="1:11" ht="12.75">
      <c r="A33" s="13"/>
      <c r="B33" s="6"/>
      <c r="C33" s="6"/>
      <c r="D33" s="6"/>
      <c r="E33" s="12"/>
      <c r="F33" s="6"/>
      <c r="G33" s="6"/>
      <c r="H33" s="6"/>
      <c r="I33" s="12"/>
      <c r="J33" s="13"/>
      <c r="K33" s="12"/>
    </row>
    <row r="34" spans="1:11" ht="12.75">
      <c r="A34" s="13"/>
      <c r="B34" s="6"/>
      <c r="C34" s="6"/>
      <c r="D34" s="6"/>
      <c r="E34" s="12"/>
      <c r="F34" s="6"/>
      <c r="G34" s="6"/>
      <c r="H34" s="6"/>
      <c r="I34" s="12"/>
      <c r="J34" s="13"/>
      <c r="K34" s="12"/>
    </row>
    <row r="35" spans="1:11" ht="12.75">
      <c r="A35" s="13" t="s">
        <v>46</v>
      </c>
      <c r="B35" s="6"/>
      <c r="C35" s="6"/>
      <c r="D35" s="6"/>
      <c r="E35" s="12"/>
      <c r="F35" s="6"/>
      <c r="G35" s="6"/>
      <c r="H35" s="6"/>
      <c r="I35" s="12"/>
      <c r="J35" s="13"/>
      <c r="K35" s="12"/>
    </row>
    <row r="36" spans="1:11" ht="12.75">
      <c r="A36" s="13"/>
      <c r="B36" s="6"/>
      <c r="C36" s="6"/>
      <c r="D36" s="6"/>
      <c r="E36" s="12"/>
      <c r="F36" s="6"/>
      <c r="G36" s="6"/>
      <c r="H36" s="6"/>
      <c r="I36" s="12"/>
      <c r="J36" s="13"/>
      <c r="K36" s="12"/>
    </row>
    <row r="37" spans="1:11" ht="12.75">
      <c r="A37" s="13"/>
      <c r="B37" s="6"/>
      <c r="C37" s="6"/>
      <c r="D37" s="6"/>
      <c r="E37" s="12"/>
      <c r="F37" s="6"/>
      <c r="G37" s="6"/>
      <c r="H37" s="6"/>
      <c r="I37" s="12"/>
      <c r="J37" s="13"/>
      <c r="K37" s="12"/>
    </row>
    <row r="38" spans="1:14" ht="12.75">
      <c r="A38" s="31"/>
      <c r="B38" s="32"/>
      <c r="C38" s="32"/>
      <c r="D38" s="33" t="s">
        <v>58</v>
      </c>
      <c r="E38" s="34" t="s">
        <v>27</v>
      </c>
      <c r="F38" s="32" t="s">
        <v>57</v>
      </c>
      <c r="G38" s="32"/>
      <c r="H38" s="32"/>
      <c r="I38" s="359" t="s">
        <v>65</v>
      </c>
      <c r="J38" s="31" t="s">
        <v>60</v>
      </c>
      <c r="K38" s="35" t="s">
        <v>55</v>
      </c>
      <c r="L38" s="357" t="s">
        <v>61</v>
      </c>
      <c r="M38" s="358"/>
      <c r="N38" s="32"/>
    </row>
    <row r="39" spans="1:14" ht="13.5" thickBot="1">
      <c r="A39" s="36"/>
      <c r="B39" s="36" t="s">
        <v>51</v>
      </c>
      <c r="C39" s="36" t="s">
        <v>52</v>
      </c>
      <c r="D39" s="37" t="s">
        <v>59</v>
      </c>
      <c r="E39" s="36" t="s">
        <v>63</v>
      </c>
      <c r="F39" s="36" t="s">
        <v>53</v>
      </c>
      <c r="G39" s="36" t="s">
        <v>54</v>
      </c>
      <c r="H39" s="36" t="s">
        <v>56</v>
      </c>
      <c r="I39" s="360"/>
      <c r="J39" s="36"/>
      <c r="K39" s="36"/>
      <c r="L39" s="38" t="s">
        <v>27</v>
      </c>
      <c r="M39" s="38" t="s">
        <v>62</v>
      </c>
      <c r="N39" s="38" t="s">
        <v>64</v>
      </c>
    </row>
    <row r="40" spans="1:14" ht="12.75">
      <c r="A40" s="27" t="s">
        <v>0</v>
      </c>
      <c r="B40" s="27">
        <v>65.7</v>
      </c>
      <c r="C40" s="27">
        <v>826</v>
      </c>
      <c r="D40" s="27">
        <f>B40*C40</f>
        <v>54268.200000000004</v>
      </c>
      <c r="E40" s="28">
        <v>20939</v>
      </c>
      <c r="F40" s="27">
        <v>31</v>
      </c>
      <c r="G40" s="27">
        <v>2.86</v>
      </c>
      <c r="H40" s="28">
        <f>F40*G40*N40</f>
        <v>6690.283599999999</v>
      </c>
      <c r="I40" s="28">
        <f aca="true" t="shared" si="3" ref="I40:I46">E40+H40</f>
        <v>27629.2836</v>
      </c>
      <c r="J40" s="28">
        <f>D40-I40</f>
        <v>26638.916400000006</v>
      </c>
      <c r="K40" s="29">
        <v>9290.5</v>
      </c>
      <c r="L40" s="30">
        <f>J40/K40</f>
        <v>2.8673286044884567</v>
      </c>
      <c r="M40" s="30">
        <f>L40/N40</f>
        <v>0.037997993698495325</v>
      </c>
      <c r="N40" s="27">
        <v>75.46</v>
      </c>
    </row>
    <row r="41" spans="1:14" ht="12.75">
      <c r="A41" s="1" t="s">
        <v>1</v>
      </c>
      <c r="B41" s="1">
        <v>45.13</v>
      </c>
      <c r="C41" s="1">
        <v>826</v>
      </c>
      <c r="D41" s="1">
        <f aca="true" t="shared" si="4" ref="D41:D58">B41*C41</f>
        <v>37277.380000000005</v>
      </c>
      <c r="E41" s="4">
        <v>42815</v>
      </c>
      <c r="F41" s="1">
        <v>38</v>
      </c>
      <c r="G41" s="1">
        <v>2.86</v>
      </c>
      <c r="H41" s="27">
        <f aca="true" t="shared" si="5" ref="H41:H60">F41*G41*N41</f>
        <v>6412.12</v>
      </c>
      <c r="I41" s="4">
        <f t="shared" si="3"/>
        <v>49227.12</v>
      </c>
      <c r="J41" s="4">
        <f aca="true" t="shared" si="6" ref="J41:J58">D41-I41</f>
        <v>-11949.739999999998</v>
      </c>
      <c r="K41" s="25">
        <v>9725.3</v>
      </c>
      <c r="L41" s="26">
        <f aca="true" t="shared" si="7" ref="L41:L58">J41/K41</f>
        <v>-1.2287271343814585</v>
      </c>
      <c r="M41" s="30">
        <f aca="true" t="shared" si="8" ref="M41:M58">L41/N41</f>
        <v>-0.020825883633584043</v>
      </c>
      <c r="N41" s="1">
        <v>59</v>
      </c>
    </row>
    <row r="42" spans="1:14" ht="12.75">
      <c r="A42" s="1" t="s">
        <v>2</v>
      </c>
      <c r="B42" s="1">
        <v>37.79</v>
      </c>
      <c r="C42" s="1">
        <v>826</v>
      </c>
      <c r="D42" s="1">
        <f t="shared" si="4"/>
        <v>31214.54</v>
      </c>
      <c r="E42" s="4">
        <v>16897</v>
      </c>
      <c r="F42" s="1">
        <v>25</v>
      </c>
      <c r="G42" s="1">
        <v>2.86</v>
      </c>
      <c r="H42" s="27">
        <f t="shared" si="5"/>
        <v>4258.54</v>
      </c>
      <c r="I42" s="4">
        <f t="shared" si="3"/>
        <v>21155.54</v>
      </c>
      <c r="J42" s="4">
        <f t="shared" si="6"/>
        <v>10059</v>
      </c>
      <c r="K42" s="25">
        <v>6610</v>
      </c>
      <c r="L42" s="26">
        <f t="shared" si="7"/>
        <v>1.52178517397882</v>
      </c>
      <c r="M42" s="30">
        <f t="shared" si="8"/>
        <v>0.025550456245446943</v>
      </c>
      <c r="N42" s="1">
        <v>59.56</v>
      </c>
    </row>
    <row r="43" spans="1:14" ht="12.75">
      <c r="A43" s="1" t="s">
        <v>3</v>
      </c>
      <c r="B43" s="1">
        <v>58.37</v>
      </c>
      <c r="C43" s="1">
        <v>826</v>
      </c>
      <c r="D43" s="1">
        <f t="shared" si="4"/>
        <v>48213.619999999995</v>
      </c>
      <c r="E43" s="4">
        <v>9868</v>
      </c>
      <c r="F43" s="1">
        <v>187</v>
      </c>
      <c r="G43" s="1">
        <v>2.8</v>
      </c>
      <c r="H43" s="27">
        <f t="shared" si="5"/>
        <v>32206.636</v>
      </c>
      <c r="I43" s="4">
        <f t="shared" si="3"/>
        <v>42074.636</v>
      </c>
      <c r="J43" s="4">
        <f t="shared" si="6"/>
        <v>6138.983999999997</v>
      </c>
      <c r="K43" s="25">
        <v>6343.9</v>
      </c>
      <c r="L43" s="26">
        <f t="shared" si="7"/>
        <v>0.9676987342171215</v>
      </c>
      <c r="M43" s="30">
        <f t="shared" si="8"/>
        <v>0.015732380657082125</v>
      </c>
      <c r="N43" s="1">
        <v>61.51</v>
      </c>
    </row>
    <row r="44" spans="1:14" ht="12.75">
      <c r="A44" s="1" t="s">
        <v>4</v>
      </c>
      <c r="B44" s="1">
        <v>37.43</v>
      </c>
      <c r="C44" s="1">
        <v>826</v>
      </c>
      <c r="D44" s="1">
        <f t="shared" si="4"/>
        <v>30917.18</v>
      </c>
      <c r="E44" s="4">
        <v>9074</v>
      </c>
      <c r="F44" s="1">
        <v>164</v>
      </c>
      <c r="G44" s="1">
        <v>2.86</v>
      </c>
      <c r="H44" s="27">
        <f t="shared" si="5"/>
        <v>28390.991199999997</v>
      </c>
      <c r="I44" s="4">
        <f t="shared" si="3"/>
        <v>37464.9912</v>
      </c>
      <c r="J44" s="4">
        <f t="shared" si="6"/>
        <v>-6547.8111999999965</v>
      </c>
      <c r="K44" s="25">
        <v>5987.4</v>
      </c>
      <c r="L44" s="26">
        <f t="shared" si="7"/>
        <v>-1.0935984233557132</v>
      </c>
      <c r="M44" s="30">
        <f t="shared" si="8"/>
        <v>-0.018067048130773387</v>
      </c>
      <c r="N44" s="1">
        <v>60.53</v>
      </c>
    </row>
    <row r="45" spans="1:14" ht="12.75">
      <c r="A45" s="1" t="s">
        <v>5</v>
      </c>
      <c r="B45" s="1">
        <v>43.17</v>
      </c>
      <c r="C45" s="1">
        <v>826</v>
      </c>
      <c r="D45" s="1">
        <f t="shared" si="4"/>
        <v>35658.42</v>
      </c>
      <c r="E45" s="4">
        <v>9912</v>
      </c>
      <c r="F45" s="1">
        <v>164</v>
      </c>
      <c r="G45" s="1">
        <v>2.86</v>
      </c>
      <c r="H45" s="27">
        <f t="shared" si="5"/>
        <v>29587.043199999996</v>
      </c>
      <c r="I45" s="4">
        <f t="shared" si="3"/>
        <v>39499.0432</v>
      </c>
      <c r="J45" s="4">
        <f t="shared" si="6"/>
        <v>-3840.623200000002</v>
      </c>
      <c r="K45" s="25">
        <v>5514.1</v>
      </c>
      <c r="L45" s="26">
        <f t="shared" si="7"/>
        <v>-0.6965095301137088</v>
      </c>
      <c r="M45" s="30">
        <f t="shared" si="8"/>
        <v>-0.011041685639088599</v>
      </c>
      <c r="N45" s="1">
        <v>63.08</v>
      </c>
    </row>
    <row r="46" spans="1:14" ht="12.75">
      <c r="A46" s="1" t="s">
        <v>28</v>
      </c>
      <c r="B46" s="1">
        <v>22.75</v>
      </c>
      <c r="C46" s="1">
        <v>826</v>
      </c>
      <c r="D46" s="1">
        <f t="shared" si="4"/>
        <v>18791.5</v>
      </c>
      <c r="E46" s="4">
        <v>24130</v>
      </c>
      <c r="F46" s="1">
        <v>12</v>
      </c>
      <c r="G46" s="1">
        <v>2.86</v>
      </c>
      <c r="H46" s="27">
        <f t="shared" si="5"/>
        <v>2079.4488</v>
      </c>
      <c r="I46" s="4">
        <f t="shared" si="3"/>
        <v>26209.4488</v>
      </c>
      <c r="J46" s="4">
        <f t="shared" si="6"/>
        <v>-7417.948799999998</v>
      </c>
      <c r="K46" s="25">
        <v>7253</v>
      </c>
      <c r="L46" s="26">
        <f t="shared" si="7"/>
        <v>-1.0227421480766576</v>
      </c>
      <c r="M46" s="30">
        <f t="shared" si="8"/>
        <v>-0.016879718568685552</v>
      </c>
      <c r="N46" s="1">
        <v>60.59</v>
      </c>
    </row>
    <row r="47" spans="1:14" ht="12.75">
      <c r="A47" s="1" t="s">
        <v>29</v>
      </c>
      <c r="B47" s="1">
        <v>0.04</v>
      </c>
      <c r="C47" s="1">
        <v>826</v>
      </c>
      <c r="D47" s="1">
        <f t="shared" si="4"/>
        <v>33.04</v>
      </c>
      <c r="E47" s="4">
        <v>313</v>
      </c>
      <c r="F47" s="1">
        <v>0</v>
      </c>
      <c r="G47" s="1">
        <v>2.8</v>
      </c>
      <c r="H47" s="27">
        <f t="shared" si="5"/>
        <v>0</v>
      </c>
      <c r="I47" s="4">
        <v>0</v>
      </c>
      <c r="J47" s="4">
        <f t="shared" si="6"/>
        <v>33.04</v>
      </c>
      <c r="K47" s="25"/>
      <c r="L47" s="26" t="e">
        <f>J47/K47</f>
        <v>#DIV/0!</v>
      </c>
      <c r="M47" s="30" t="e">
        <f t="shared" si="8"/>
        <v>#DIV/0!</v>
      </c>
      <c r="N47" s="1"/>
    </row>
    <row r="48" spans="1:14" ht="12.75">
      <c r="A48" s="1" t="s">
        <v>30</v>
      </c>
      <c r="B48" s="1">
        <v>30.83</v>
      </c>
      <c r="C48" s="1">
        <v>826</v>
      </c>
      <c r="D48" s="1">
        <f t="shared" si="4"/>
        <v>25465.579999999998</v>
      </c>
      <c r="E48" s="4">
        <v>4014</v>
      </c>
      <c r="F48" s="1">
        <v>111</v>
      </c>
      <c r="G48" s="1">
        <v>2.86</v>
      </c>
      <c r="H48" s="27">
        <f t="shared" si="5"/>
        <v>19714.266</v>
      </c>
      <c r="I48" s="4">
        <f aca="true" t="shared" si="9" ref="I48:I58">E48+H48</f>
        <v>23728.266</v>
      </c>
      <c r="J48" s="4">
        <f t="shared" si="6"/>
        <v>1737.3139999999985</v>
      </c>
      <c r="K48" s="25">
        <v>3718.8</v>
      </c>
      <c r="L48" s="26">
        <f t="shared" si="7"/>
        <v>0.4671705926642999</v>
      </c>
      <c r="M48" s="30">
        <f t="shared" si="8"/>
        <v>0.0075228758883140075</v>
      </c>
      <c r="N48" s="1">
        <v>62.1</v>
      </c>
    </row>
    <row r="49" spans="1:14" ht="12.75">
      <c r="A49" s="1" t="s">
        <v>31</v>
      </c>
      <c r="B49" s="1">
        <v>51.04</v>
      </c>
      <c r="C49" s="1">
        <v>826</v>
      </c>
      <c r="D49" s="1">
        <f t="shared" si="4"/>
        <v>42159.04</v>
      </c>
      <c r="E49" s="4">
        <v>7758</v>
      </c>
      <c r="F49" s="1">
        <v>261</v>
      </c>
      <c r="G49" s="1">
        <v>2.86</v>
      </c>
      <c r="H49" s="27">
        <f t="shared" si="5"/>
        <v>46287.984599999996</v>
      </c>
      <c r="I49" s="4">
        <f t="shared" si="9"/>
        <v>54045.984599999996</v>
      </c>
      <c r="J49" s="4">
        <f t="shared" si="6"/>
        <v>-11886.944599999995</v>
      </c>
      <c r="K49" s="25">
        <v>9274.6</v>
      </c>
      <c r="L49" s="26">
        <f t="shared" si="7"/>
        <v>-1.2816665516572137</v>
      </c>
      <c r="M49" s="30">
        <f t="shared" si="8"/>
        <v>-0.0206687074932626</v>
      </c>
      <c r="N49" s="1">
        <v>62.01</v>
      </c>
    </row>
    <row r="50" spans="1:14" ht="12.75">
      <c r="A50" s="1" t="s">
        <v>10</v>
      </c>
      <c r="B50" s="1">
        <v>39.54</v>
      </c>
      <c r="C50" s="1">
        <v>826</v>
      </c>
      <c r="D50" s="1">
        <f t="shared" si="4"/>
        <v>32660.04</v>
      </c>
      <c r="E50" s="4">
        <v>6567</v>
      </c>
      <c r="F50" s="1">
        <v>142</v>
      </c>
      <c r="G50" s="1">
        <v>2.86</v>
      </c>
      <c r="H50" s="27">
        <f t="shared" si="5"/>
        <v>25382.5</v>
      </c>
      <c r="I50" s="4">
        <f t="shared" si="9"/>
        <v>31949.5</v>
      </c>
      <c r="J50" s="4">
        <f t="shared" si="6"/>
        <v>710.5400000000009</v>
      </c>
      <c r="K50" s="25">
        <v>5976</v>
      </c>
      <c r="L50" s="26">
        <f t="shared" si="7"/>
        <v>0.1188989290495316</v>
      </c>
      <c r="M50" s="30">
        <f t="shared" si="8"/>
        <v>0.0019023828647925056</v>
      </c>
      <c r="N50" s="1">
        <v>62.5</v>
      </c>
    </row>
    <row r="51" spans="1:14" ht="12.75">
      <c r="A51" s="1" t="s">
        <v>11</v>
      </c>
      <c r="B51" s="1">
        <v>24.56</v>
      </c>
      <c r="C51" s="1">
        <v>826</v>
      </c>
      <c r="D51" s="1">
        <f t="shared" si="4"/>
        <v>20286.559999999998</v>
      </c>
      <c r="E51" s="4">
        <v>13738</v>
      </c>
      <c r="F51" s="1">
        <v>68</v>
      </c>
      <c r="G51" s="1">
        <v>2.8</v>
      </c>
      <c r="H51" s="27">
        <f t="shared" si="5"/>
        <v>11728.64</v>
      </c>
      <c r="I51" s="4">
        <f t="shared" si="9"/>
        <v>25466.64</v>
      </c>
      <c r="J51" s="4">
        <f t="shared" si="6"/>
        <v>-5180.080000000002</v>
      </c>
      <c r="K51" s="25">
        <v>3323</v>
      </c>
      <c r="L51" s="26">
        <f t="shared" si="7"/>
        <v>-1.5588564550105333</v>
      </c>
      <c r="M51" s="30">
        <f t="shared" si="8"/>
        <v>-0.025306111282638526</v>
      </c>
      <c r="N51" s="1">
        <v>61.6</v>
      </c>
    </row>
    <row r="52" spans="1:14" ht="12.75">
      <c r="A52" s="1" t="s">
        <v>12</v>
      </c>
      <c r="B52" s="1">
        <v>57.54</v>
      </c>
      <c r="C52" s="1">
        <v>826</v>
      </c>
      <c r="D52" s="1">
        <f t="shared" si="4"/>
        <v>47528.04</v>
      </c>
      <c r="E52" s="4">
        <v>3479</v>
      </c>
      <c r="F52" s="1">
        <v>178</v>
      </c>
      <c r="G52" s="1">
        <v>2.86</v>
      </c>
      <c r="H52" s="27">
        <f t="shared" si="5"/>
        <v>31608.7772</v>
      </c>
      <c r="I52" s="4">
        <f t="shared" si="9"/>
        <v>35087.7772</v>
      </c>
      <c r="J52" s="4">
        <f t="shared" si="6"/>
        <v>12440.262800000004</v>
      </c>
      <c r="K52" s="25">
        <v>6352.8</v>
      </c>
      <c r="L52" s="26">
        <f t="shared" si="7"/>
        <v>1.9582330311043954</v>
      </c>
      <c r="M52" s="30">
        <f t="shared" si="8"/>
        <v>0.03153862185705259</v>
      </c>
      <c r="N52" s="1">
        <v>62.09</v>
      </c>
    </row>
    <row r="53" spans="1:14" ht="12.75">
      <c r="A53" s="1" t="s">
        <v>13</v>
      </c>
      <c r="B53" s="1">
        <v>50.23</v>
      </c>
      <c r="C53" s="1">
        <v>826</v>
      </c>
      <c r="D53" s="1">
        <f t="shared" si="4"/>
        <v>41489.979999999996</v>
      </c>
      <c r="E53" s="4">
        <v>583</v>
      </c>
      <c r="F53" s="1">
        <v>308</v>
      </c>
      <c r="G53" s="1">
        <v>1.8</v>
      </c>
      <c r="H53" s="27">
        <f t="shared" si="5"/>
        <v>31489.92</v>
      </c>
      <c r="I53" s="4">
        <f t="shared" si="9"/>
        <v>32072.92</v>
      </c>
      <c r="J53" s="4">
        <f t="shared" si="6"/>
        <v>9417.059999999998</v>
      </c>
      <c r="K53" s="25">
        <v>4188.1</v>
      </c>
      <c r="L53" s="26">
        <f t="shared" si="7"/>
        <v>2.2485279721114577</v>
      </c>
      <c r="M53" s="30">
        <f t="shared" si="8"/>
        <v>0.03958676007238482</v>
      </c>
      <c r="N53" s="1">
        <v>56.8</v>
      </c>
    </row>
    <row r="54" spans="1:14" ht="12.75">
      <c r="A54" s="1" t="s">
        <v>14</v>
      </c>
      <c r="B54" s="1">
        <v>34.1</v>
      </c>
      <c r="C54" s="1">
        <v>826</v>
      </c>
      <c r="D54" s="1">
        <f t="shared" si="4"/>
        <v>28166.600000000002</v>
      </c>
      <c r="E54" s="4">
        <v>2858</v>
      </c>
      <c r="F54" s="1">
        <v>107</v>
      </c>
      <c r="G54" s="1">
        <v>2.86</v>
      </c>
      <c r="H54" s="27">
        <f t="shared" si="5"/>
        <v>18826.3504</v>
      </c>
      <c r="I54" s="4">
        <f t="shared" si="9"/>
        <v>21684.3504</v>
      </c>
      <c r="J54" s="4">
        <f t="shared" si="6"/>
        <v>6482.249600000003</v>
      </c>
      <c r="K54" s="25">
        <v>3911.5</v>
      </c>
      <c r="L54" s="26">
        <f t="shared" si="7"/>
        <v>1.6572285823852748</v>
      </c>
      <c r="M54" s="30">
        <f t="shared" si="8"/>
        <v>0.02693804587752397</v>
      </c>
      <c r="N54" s="1">
        <v>61.52</v>
      </c>
    </row>
    <row r="55" spans="1:14" ht="12.75">
      <c r="A55" s="1" t="s">
        <v>15</v>
      </c>
      <c r="B55" s="1">
        <v>56.58</v>
      </c>
      <c r="C55" s="1">
        <v>826</v>
      </c>
      <c r="D55" s="1">
        <f t="shared" si="4"/>
        <v>46735.08</v>
      </c>
      <c r="E55" s="4">
        <v>3812</v>
      </c>
      <c r="F55" s="1">
        <v>179</v>
      </c>
      <c r="G55" s="1">
        <v>2.86</v>
      </c>
      <c r="H55" s="27">
        <f t="shared" si="5"/>
        <v>32892.145</v>
      </c>
      <c r="I55" s="4">
        <f t="shared" si="9"/>
        <v>36704.145</v>
      </c>
      <c r="J55" s="4">
        <f t="shared" si="6"/>
        <v>10030.935000000005</v>
      </c>
      <c r="K55" s="25">
        <v>5485.5</v>
      </c>
      <c r="L55" s="26">
        <f t="shared" si="7"/>
        <v>1.8286272901285217</v>
      </c>
      <c r="M55" s="30">
        <f t="shared" si="8"/>
        <v>0.028461125138187108</v>
      </c>
      <c r="N55" s="1">
        <v>64.25</v>
      </c>
    </row>
    <row r="56" spans="1:14" ht="12.75">
      <c r="A56" s="1" t="s">
        <v>16</v>
      </c>
      <c r="B56" s="1">
        <v>32.72</v>
      </c>
      <c r="C56" s="1">
        <v>826</v>
      </c>
      <c r="D56" s="1">
        <f t="shared" si="4"/>
        <v>27026.719999999998</v>
      </c>
      <c r="E56" s="4">
        <v>5633</v>
      </c>
      <c r="F56" s="1">
        <v>135</v>
      </c>
      <c r="G56" s="1">
        <v>2.8</v>
      </c>
      <c r="H56" s="27">
        <f t="shared" si="5"/>
        <v>23216.760000000002</v>
      </c>
      <c r="I56" s="4">
        <f t="shared" si="9"/>
        <v>28849.760000000002</v>
      </c>
      <c r="J56" s="4">
        <f t="shared" si="6"/>
        <v>-1823.0400000000045</v>
      </c>
      <c r="K56" s="25">
        <v>4673.4</v>
      </c>
      <c r="L56" s="26">
        <f t="shared" si="7"/>
        <v>-0.390088586468097</v>
      </c>
      <c r="M56" s="30">
        <f t="shared" si="8"/>
        <v>-0.006351165523739775</v>
      </c>
      <c r="N56" s="1">
        <v>61.42</v>
      </c>
    </row>
    <row r="57" spans="1:14" ht="12.75">
      <c r="A57" s="1" t="s">
        <v>42</v>
      </c>
      <c r="B57" s="1">
        <v>44.19</v>
      </c>
      <c r="C57" s="1">
        <v>826</v>
      </c>
      <c r="D57" s="1">
        <f t="shared" si="4"/>
        <v>36500.939999999995</v>
      </c>
      <c r="E57" s="4">
        <v>13579</v>
      </c>
      <c r="F57" s="1">
        <v>2</v>
      </c>
      <c r="G57" s="1">
        <v>2.86</v>
      </c>
      <c r="H57" s="27">
        <f t="shared" si="5"/>
        <v>347.8904</v>
      </c>
      <c r="I57" s="4">
        <f t="shared" si="9"/>
        <v>13926.8904</v>
      </c>
      <c r="J57" s="4">
        <f t="shared" si="6"/>
        <v>22574.049599999995</v>
      </c>
      <c r="K57" s="25">
        <v>6784.7</v>
      </c>
      <c r="L57" s="26">
        <f t="shared" si="7"/>
        <v>3.327199375064483</v>
      </c>
      <c r="M57" s="30">
        <f t="shared" si="8"/>
        <v>0.054705678642954336</v>
      </c>
      <c r="N57" s="1">
        <v>60.82</v>
      </c>
    </row>
    <row r="58" spans="1:14" ht="12.75">
      <c r="A58" s="1" t="s">
        <v>49</v>
      </c>
      <c r="B58" s="1"/>
      <c r="C58" s="1">
        <v>826</v>
      </c>
      <c r="D58" s="1">
        <f t="shared" si="4"/>
        <v>0</v>
      </c>
      <c r="E58" s="4"/>
      <c r="F58" s="1">
        <v>0</v>
      </c>
      <c r="G58" s="1">
        <v>1.8</v>
      </c>
      <c r="H58" s="27">
        <f t="shared" si="5"/>
        <v>0</v>
      </c>
      <c r="I58" s="4">
        <f t="shared" si="9"/>
        <v>0</v>
      </c>
      <c r="J58" s="4">
        <f t="shared" si="6"/>
        <v>0</v>
      </c>
      <c r="K58" s="25">
        <v>663.9</v>
      </c>
      <c r="L58" s="26">
        <f t="shared" si="7"/>
        <v>0</v>
      </c>
      <c r="M58" s="30" t="e">
        <f t="shared" si="8"/>
        <v>#DIV/0!</v>
      </c>
      <c r="N58" s="1"/>
    </row>
    <row r="59" spans="1:14" ht="12.75">
      <c r="A59" s="1"/>
      <c r="B59" s="1"/>
      <c r="C59" s="1"/>
      <c r="D59" s="1"/>
      <c r="E59" s="4"/>
      <c r="F59" s="1"/>
      <c r="G59" s="1"/>
      <c r="H59" s="27">
        <f t="shared" si="5"/>
        <v>0</v>
      </c>
      <c r="I59" s="4"/>
      <c r="J59" s="1"/>
      <c r="K59" s="8"/>
      <c r="L59" s="1"/>
      <c r="M59" s="1"/>
      <c r="N59" s="1"/>
    </row>
    <row r="60" spans="1:14" ht="12.75">
      <c r="A60" s="7" t="s">
        <v>26</v>
      </c>
      <c r="B60" s="1">
        <f>SUM(B40:B59)</f>
        <v>731.7100000000003</v>
      </c>
      <c r="C60" s="1"/>
      <c r="D60" s="1">
        <f>D40+SUM(D40:D59)</f>
        <v>658660.6599999998</v>
      </c>
      <c r="E60" s="8"/>
      <c r="F60" s="1">
        <f>SUM(SUM(F40:F59))</f>
        <v>2112</v>
      </c>
      <c r="G60" s="1"/>
      <c r="H60" s="27">
        <f t="shared" si="5"/>
        <v>0</v>
      </c>
      <c r="I60" s="8">
        <f>SUM(SUM(I40:I59))</f>
        <v>546776.2964</v>
      </c>
      <c r="J60" s="7"/>
      <c r="K60" s="8"/>
      <c r="L60" s="1"/>
      <c r="M60" s="1"/>
      <c r="N60" s="1"/>
    </row>
    <row r="61" spans="1:13" ht="12.75">
      <c r="A61" s="13"/>
      <c r="B61" s="6"/>
      <c r="C61" s="6"/>
      <c r="D61" s="6"/>
      <c r="E61" s="12"/>
      <c r="F61" s="6"/>
      <c r="G61" s="6"/>
      <c r="H61" s="6"/>
      <c r="I61" s="12"/>
      <c r="J61" s="13"/>
      <c r="K61" s="12"/>
      <c r="L61" s="6"/>
      <c r="M61" s="6"/>
    </row>
    <row r="62" spans="1:13" ht="12.75">
      <c r="A62" s="13"/>
      <c r="B62" s="6"/>
      <c r="C62" s="6"/>
      <c r="D62" s="6"/>
      <c r="E62" s="12"/>
      <c r="F62" s="6"/>
      <c r="G62" s="6"/>
      <c r="H62" s="6"/>
      <c r="I62" s="12"/>
      <c r="J62" s="13"/>
      <c r="K62" s="12"/>
      <c r="L62" s="6"/>
      <c r="M62" s="6"/>
    </row>
    <row r="63" spans="1:13" ht="12.75">
      <c r="A63" s="13"/>
      <c r="B63" s="6"/>
      <c r="C63" s="6"/>
      <c r="D63" s="6"/>
      <c r="E63" s="12"/>
      <c r="F63" s="6"/>
      <c r="G63" s="6"/>
      <c r="H63" s="6"/>
      <c r="I63" s="12"/>
      <c r="J63" s="13"/>
      <c r="K63" s="12"/>
      <c r="L63" s="6"/>
      <c r="M63" s="6"/>
    </row>
    <row r="64" spans="1:13" ht="12.75">
      <c r="A64" s="13"/>
      <c r="B64" s="6"/>
      <c r="C64" s="6"/>
      <c r="D64" s="6"/>
      <c r="E64" s="12"/>
      <c r="F64" s="6"/>
      <c r="G64" s="6"/>
      <c r="H64" s="6"/>
      <c r="I64" s="12"/>
      <c r="J64" s="13"/>
      <c r="K64" s="12"/>
      <c r="L64" s="6"/>
      <c r="M64" s="6"/>
    </row>
    <row r="65" spans="1:13" ht="12.75">
      <c r="A65" s="13"/>
      <c r="B65" s="6"/>
      <c r="C65" s="6"/>
      <c r="D65" s="6"/>
      <c r="E65" s="12"/>
      <c r="F65" s="6"/>
      <c r="G65" s="6"/>
      <c r="H65" s="6"/>
      <c r="I65" s="12"/>
      <c r="J65" s="13"/>
      <c r="K65" s="12"/>
      <c r="L65" s="6"/>
      <c r="M65" s="6"/>
    </row>
    <row r="66" spans="1:13" ht="12.75">
      <c r="A66" s="13"/>
      <c r="B66" s="6"/>
      <c r="C66" s="6"/>
      <c r="D66" s="6"/>
      <c r="E66" s="12"/>
      <c r="F66" s="6"/>
      <c r="G66" s="6"/>
      <c r="H66" s="6"/>
      <c r="I66" s="12"/>
      <c r="J66" s="13"/>
      <c r="K66" s="12"/>
      <c r="L66" s="6"/>
      <c r="M66" s="6"/>
    </row>
    <row r="67" spans="1:13" ht="12.75">
      <c r="A67" s="13"/>
      <c r="B67" s="6"/>
      <c r="C67" s="6"/>
      <c r="D67" s="6"/>
      <c r="E67" s="12"/>
      <c r="F67" s="6"/>
      <c r="G67" s="6"/>
      <c r="H67" s="6"/>
      <c r="I67" s="12"/>
      <c r="J67" s="13"/>
      <c r="K67" s="12"/>
      <c r="L67" s="6"/>
      <c r="M67" s="6"/>
    </row>
    <row r="68" spans="1:13" ht="12.75">
      <c r="A68" s="13"/>
      <c r="B68" s="6"/>
      <c r="C68" s="6"/>
      <c r="D68" s="6"/>
      <c r="E68" s="12"/>
      <c r="F68" s="6"/>
      <c r="G68" s="6"/>
      <c r="H68" s="6"/>
      <c r="I68" s="12"/>
      <c r="J68" s="13"/>
      <c r="K68" s="12"/>
      <c r="L68" s="6"/>
      <c r="M68" s="6"/>
    </row>
    <row r="69" spans="1:13" ht="12.75">
      <c r="A69" s="13"/>
      <c r="B69" s="6"/>
      <c r="C69" s="6"/>
      <c r="D69" s="6"/>
      <c r="E69" s="12"/>
      <c r="F69" s="6"/>
      <c r="G69" s="6"/>
      <c r="H69" s="6"/>
      <c r="I69" s="12"/>
      <c r="J69" s="13"/>
      <c r="K69" s="12"/>
      <c r="L69" s="6"/>
      <c r="M69" s="6"/>
    </row>
    <row r="70" spans="1:13" ht="12.75">
      <c r="A70" s="13"/>
      <c r="B70" s="6"/>
      <c r="C70" s="6"/>
      <c r="D70" s="6"/>
      <c r="E70" s="12"/>
      <c r="F70" s="6"/>
      <c r="G70" s="6"/>
      <c r="H70" s="6"/>
      <c r="I70" s="12"/>
      <c r="J70" s="13"/>
      <c r="K70" s="12"/>
      <c r="L70" s="6"/>
      <c r="M70" s="6"/>
    </row>
    <row r="71" ht="12.75">
      <c r="C71" s="6"/>
    </row>
    <row r="74" spans="1:13" ht="12.75">
      <c r="A74" s="361"/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1"/>
      <c r="M74" s="361"/>
    </row>
    <row r="76" spans="1:15" ht="15.75">
      <c r="A76" s="1"/>
      <c r="B76" s="1" t="s">
        <v>66</v>
      </c>
      <c r="C76" t="s">
        <v>23</v>
      </c>
      <c r="D76" s="23" t="s">
        <v>27</v>
      </c>
      <c r="E76" s="1" t="s">
        <v>67</v>
      </c>
      <c r="F76" s="2" t="s">
        <v>69</v>
      </c>
      <c r="G76" s="1" t="s">
        <v>70</v>
      </c>
      <c r="H76" s="1" t="s">
        <v>71</v>
      </c>
      <c r="I76" s="1" t="s">
        <v>72</v>
      </c>
      <c r="J76" s="39" t="s">
        <v>75</v>
      </c>
      <c r="K76" s="1" t="s">
        <v>73</v>
      </c>
      <c r="L76" s="24" t="s">
        <v>74</v>
      </c>
      <c r="M76" s="24" t="s">
        <v>62</v>
      </c>
      <c r="N76" s="1"/>
      <c r="O76" s="1"/>
    </row>
    <row r="77" spans="1:17" ht="12.75">
      <c r="A77" s="1" t="s">
        <v>0</v>
      </c>
      <c r="B77" s="1">
        <v>2222</v>
      </c>
      <c r="C77" s="1">
        <v>12.24</v>
      </c>
      <c r="D77" s="1">
        <f>B77*C77</f>
        <v>27197.28</v>
      </c>
      <c r="E77" s="4">
        <v>5732</v>
      </c>
      <c r="F77" s="1">
        <v>31</v>
      </c>
      <c r="G77" s="1">
        <v>4.04</v>
      </c>
      <c r="H77" s="4">
        <f>F77*G77*12.24</f>
        <v>1532.9376</v>
      </c>
      <c r="I77" s="4">
        <f>E77+H77</f>
        <v>7264.9376</v>
      </c>
      <c r="J77" s="4">
        <f>D77-I77</f>
        <v>19932.342399999998</v>
      </c>
      <c r="K77" s="8">
        <v>9290.5</v>
      </c>
      <c r="L77" s="26">
        <f>J77/K77</f>
        <v>2.1454542166729453</v>
      </c>
      <c r="M77" s="26">
        <f>L77/12.24</f>
        <v>0.17528220724452168</v>
      </c>
      <c r="N77" s="1">
        <v>1725.8</v>
      </c>
      <c r="O77" s="1">
        <v>0.03</v>
      </c>
      <c r="P77">
        <f>O77*N77/K77</f>
        <v>0.0055727894085356</v>
      </c>
      <c r="Q77">
        <f>P77*K77*17.84</f>
        <v>923.6481599999998</v>
      </c>
    </row>
    <row r="78" spans="1:17" ht="12.75">
      <c r="A78" s="1" t="s">
        <v>1</v>
      </c>
      <c r="B78" s="1">
        <v>1838</v>
      </c>
      <c r="C78" s="1">
        <v>12.24</v>
      </c>
      <c r="D78" s="1">
        <f aca="true" t="shared" si="10" ref="D78:D95">B78*C78</f>
        <v>22497.12</v>
      </c>
      <c r="E78" s="4">
        <v>7857</v>
      </c>
      <c r="F78" s="1">
        <v>38</v>
      </c>
      <c r="G78" s="1">
        <v>4.04</v>
      </c>
      <c r="H78" s="4">
        <f aca="true" t="shared" si="11" ref="H78:H95">F78*G78*12.24</f>
        <v>1879.0848</v>
      </c>
      <c r="I78" s="4">
        <f aca="true" t="shared" si="12" ref="I78:I95">E78+H78</f>
        <v>9736.0848</v>
      </c>
      <c r="J78" s="4">
        <f aca="true" t="shared" si="13" ref="J78:J95">D78-I78</f>
        <v>12761.035199999998</v>
      </c>
      <c r="K78" s="8">
        <v>9725.3</v>
      </c>
      <c r="L78" s="26">
        <f aca="true" t="shared" si="14" ref="L78:L95">J78/K78</f>
        <v>1.3121482319311486</v>
      </c>
      <c r="M78" s="26">
        <f aca="true" t="shared" si="15" ref="M78:M95">L78/12.24</f>
        <v>0.10720165293555135</v>
      </c>
      <c r="N78" s="1">
        <v>1698</v>
      </c>
      <c r="O78" s="1">
        <v>0.03</v>
      </c>
      <c r="P78">
        <f aca="true" t="shared" si="16" ref="P78:P95">O78*N78/K78</f>
        <v>0.005237884692503059</v>
      </c>
      <c r="Q78">
        <f aca="true" t="shared" si="17" ref="Q78:Q96">P78*K78*17.84</f>
        <v>908.7696</v>
      </c>
    </row>
    <row r="79" spans="1:17" ht="12.75">
      <c r="A79" s="1" t="s">
        <v>2</v>
      </c>
      <c r="B79" s="1">
        <v>625</v>
      </c>
      <c r="C79" s="1">
        <v>12.24</v>
      </c>
      <c r="D79" s="1">
        <f t="shared" si="10"/>
        <v>7650</v>
      </c>
      <c r="E79" s="4">
        <v>3237</v>
      </c>
      <c r="F79" s="1">
        <v>25</v>
      </c>
      <c r="G79" s="1">
        <v>4.04</v>
      </c>
      <c r="H79" s="4">
        <f t="shared" si="11"/>
        <v>1236.24</v>
      </c>
      <c r="I79" s="4">
        <f t="shared" si="12"/>
        <v>4473.24</v>
      </c>
      <c r="J79" s="4">
        <f t="shared" si="13"/>
        <v>3176.76</v>
      </c>
      <c r="K79" s="8">
        <v>6610</v>
      </c>
      <c r="L79" s="26">
        <f t="shared" si="14"/>
        <v>0.4805990922844176</v>
      </c>
      <c r="M79" s="26">
        <f t="shared" si="15"/>
        <v>0.03926463172258314</v>
      </c>
      <c r="N79" s="1">
        <v>825.7</v>
      </c>
      <c r="O79" s="1">
        <v>0.03</v>
      </c>
      <c r="P79">
        <f t="shared" si="16"/>
        <v>0.0037475037821482603</v>
      </c>
      <c r="Q79">
        <f t="shared" si="17"/>
        <v>441.91464</v>
      </c>
    </row>
    <row r="80" spans="1:17" ht="12.75">
      <c r="A80" s="1" t="s">
        <v>3</v>
      </c>
      <c r="B80" s="1">
        <v>1113</v>
      </c>
      <c r="C80" s="1">
        <v>12.24</v>
      </c>
      <c r="D80" s="1">
        <f t="shared" si="10"/>
        <v>13623.12</v>
      </c>
      <c r="E80" s="4">
        <v>1838</v>
      </c>
      <c r="F80" s="1">
        <v>187</v>
      </c>
      <c r="G80" s="1">
        <v>3.99</v>
      </c>
      <c r="H80" s="4">
        <f t="shared" si="11"/>
        <v>9132.6312</v>
      </c>
      <c r="I80" s="4">
        <f t="shared" si="12"/>
        <v>10970.6312</v>
      </c>
      <c r="J80" s="4">
        <f t="shared" si="13"/>
        <v>2652.488800000001</v>
      </c>
      <c r="K80" s="8">
        <v>6343.9</v>
      </c>
      <c r="L80" s="26">
        <f t="shared" si="14"/>
        <v>0.41811642680370137</v>
      </c>
      <c r="M80" s="26">
        <f t="shared" si="15"/>
        <v>0.03415983879115207</v>
      </c>
      <c r="N80" s="1">
        <v>597.7</v>
      </c>
      <c r="O80" s="1">
        <v>0.03</v>
      </c>
      <c r="P80">
        <f t="shared" si="16"/>
        <v>0.002826494742981447</v>
      </c>
      <c r="Q80">
        <f t="shared" si="17"/>
        <v>319.88904</v>
      </c>
    </row>
    <row r="81" spans="1:17" ht="12.75">
      <c r="A81" s="1" t="s">
        <v>4</v>
      </c>
      <c r="B81" s="1">
        <v>1264</v>
      </c>
      <c r="C81" s="1">
        <v>12.24</v>
      </c>
      <c r="D81" s="1">
        <f t="shared" si="10"/>
        <v>15471.36</v>
      </c>
      <c r="E81" s="4">
        <v>1951</v>
      </c>
      <c r="F81" s="1">
        <v>164</v>
      </c>
      <c r="G81" s="1">
        <v>4.04</v>
      </c>
      <c r="H81" s="4">
        <f t="shared" si="11"/>
        <v>8109.734400000001</v>
      </c>
      <c r="I81" s="4">
        <f t="shared" si="12"/>
        <v>10060.734400000001</v>
      </c>
      <c r="J81" s="4">
        <f t="shared" si="13"/>
        <v>5410.625599999999</v>
      </c>
      <c r="K81" s="8">
        <v>5987.4</v>
      </c>
      <c r="L81" s="26">
        <f t="shared" si="14"/>
        <v>0.9036686374720245</v>
      </c>
      <c r="M81" s="26">
        <f t="shared" si="15"/>
        <v>0.07382913704836802</v>
      </c>
      <c r="N81" s="1">
        <v>702.3</v>
      </c>
      <c r="O81" s="1">
        <v>0.03</v>
      </c>
      <c r="P81">
        <f t="shared" si="16"/>
        <v>0.003518889668303437</v>
      </c>
      <c r="Q81">
        <f t="shared" si="17"/>
        <v>375.87095999999997</v>
      </c>
    </row>
    <row r="82" spans="1:17" ht="12.75">
      <c r="A82" s="1" t="s">
        <v>5</v>
      </c>
      <c r="B82" s="1">
        <v>1438</v>
      </c>
      <c r="C82" s="1">
        <v>12.24</v>
      </c>
      <c r="D82" s="1">
        <f t="shared" si="10"/>
        <v>17601.12</v>
      </c>
      <c r="E82" s="4">
        <v>2409</v>
      </c>
      <c r="F82" s="1">
        <v>164</v>
      </c>
      <c r="G82" s="1">
        <v>4.04</v>
      </c>
      <c r="H82" s="4">
        <f t="shared" si="11"/>
        <v>8109.734400000001</v>
      </c>
      <c r="I82" s="4">
        <f t="shared" si="12"/>
        <v>10518.734400000001</v>
      </c>
      <c r="J82" s="4">
        <f t="shared" si="13"/>
        <v>7082.385599999998</v>
      </c>
      <c r="K82" s="8">
        <v>5514.1</v>
      </c>
      <c r="L82" s="26">
        <f t="shared" si="14"/>
        <v>1.284413703052175</v>
      </c>
      <c r="M82" s="26">
        <f t="shared" si="15"/>
        <v>0.10493576005328227</v>
      </c>
      <c r="N82" s="1">
        <v>777</v>
      </c>
      <c r="O82" s="1">
        <v>0.03</v>
      </c>
      <c r="P82">
        <f t="shared" si="16"/>
        <v>0.00422734444424294</v>
      </c>
      <c r="Q82">
        <f t="shared" si="17"/>
        <v>415.8504</v>
      </c>
    </row>
    <row r="83" spans="1:17" ht="12.75">
      <c r="A83" s="1" t="s">
        <v>28</v>
      </c>
      <c r="B83" s="1">
        <v>848</v>
      </c>
      <c r="C83" s="1">
        <v>12.24</v>
      </c>
      <c r="D83" s="1">
        <f t="shared" si="10"/>
        <v>10379.52</v>
      </c>
      <c r="E83" s="4">
        <v>3277</v>
      </c>
      <c r="F83" s="1">
        <v>12</v>
      </c>
      <c r="G83" s="1">
        <v>4.04</v>
      </c>
      <c r="H83" s="4">
        <f t="shared" si="11"/>
        <v>593.3952</v>
      </c>
      <c r="I83" s="4">
        <f t="shared" si="12"/>
        <v>3870.3952</v>
      </c>
      <c r="J83" s="4">
        <f t="shared" si="13"/>
        <v>6509.1248000000005</v>
      </c>
      <c r="K83" s="8">
        <v>7253</v>
      </c>
      <c r="L83" s="26">
        <f t="shared" si="14"/>
        <v>0.8974389631876466</v>
      </c>
      <c r="M83" s="26">
        <f t="shared" si="15"/>
        <v>0.07332017673101687</v>
      </c>
      <c r="N83" s="1">
        <v>1125</v>
      </c>
      <c r="O83" s="1">
        <v>0.03</v>
      </c>
      <c r="P83">
        <f t="shared" si="16"/>
        <v>0.0046532469323038745</v>
      </c>
      <c r="Q83">
        <f t="shared" si="17"/>
        <v>602.1</v>
      </c>
    </row>
    <row r="84" spans="1:17" ht="12.75">
      <c r="A84" s="1" t="s">
        <v>68</v>
      </c>
      <c r="B84" s="1"/>
      <c r="C84" s="1"/>
      <c r="D84" s="1"/>
      <c r="E84" s="4"/>
      <c r="F84" s="1">
        <v>0</v>
      </c>
      <c r="G84" s="1"/>
      <c r="H84" s="4">
        <f t="shared" si="11"/>
        <v>0</v>
      </c>
      <c r="I84" s="4">
        <f t="shared" si="12"/>
        <v>0</v>
      </c>
      <c r="J84" s="4">
        <f t="shared" si="13"/>
        <v>0</v>
      </c>
      <c r="K84" s="8">
        <v>0</v>
      </c>
      <c r="L84" s="26" t="e">
        <f t="shared" si="14"/>
        <v>#DIV/0!</v>
      </c>
      <c r="M84" s="26" t="e">
        <f t="shared" si="15"/>
        <v>#DIV/0!</v>
      </c>
      <c r="N84" s="1"/>
      <c r="O84" s="1">
        <v>0.03</v>
      </c>
      <c r="P84">
        <v>0</v>
      </c>
      <c r="Q84">
        <f t="shared" si="17"/>
        <v>0</v>
      </c>
    </row>
    <row r="85" spans="1:17" ht="12.75">
      <c r="A85" s="1" t="s">
        <v>30</v>
      </c>
      <c r="B85" s="1">
        <v>842</v>
      </c>
      <c r="C85" s="1">
        <v>12.24</v>
      </c>
      <c r="D85" s="1">
        <f t="shared" si="10"/>
        <v>10306.08</v>
      </c>
      <c r="E85" s="4">
        <v>1220</v>
      </c>
      <c r="F85" s="1">
        <v>111</v>
      </c>
      <c r="G85" s="1">
        <v>4.04</v>
      </c>
      <c r="H85" s="4">
        <f t="shared" si="11"/>
        <v>5488.9056</v>
      </c>
      <c r="I85" s="4">
        <f t="shared" si="12"/>
        <v>6708.9056</v>
      </c>
      <c r="J85" s="4">
        <f t="shared" si="13"/>
        <v>3597.1744</v>
      </c>
      <c r="K85" s="8">
        <v>3718.8</v>
      </c>
      <c r="L85" s="26">
        <f t="shared" si="14"/>
        <v>0.9672943960417338</v>
      </c>
      <c r="M85" s="26">
        <f t="shared" si="15"/>
        <v>0.07902731993805015</v>
      </c>
      <c r="N85" s="1">
        <v>528.4</v>
      </c>
      <c r="O85" s="1">
        <v>0.03</v>
      </c>
      <c r="P85">
        <f t="shared" si="16"/>
        <v>0.004262665375927718</v>
      </c>
      <c r="Q85">
        <f t="shared" si="17"/>
        <v>282.79968</v>
      </c>
    </row>
    <row r="86" spans="1:17" ht="12.75">
      <c r="A86" s="1" t="s">
        <v>31</v>
      </c>
      <c r="B86" s="1">
        <v>1768</v>
      </c>
      <c r="C86" s="1">
        <v>12.24</v>
      </c>
      <c r="D86" s="1">
        <f t="shared" si="10"/>
        <v>21640.32</v>
      </c>
      <c r="E86" s="4">
        <v>1575</v>
      </c>
      <c r="F86" s="1">
        <v>261</v>
      </c>
      <c r="G86" s="1">
        <v>4.04</v>
      </c>
      <c r="H86" s="4">
        <f t="shared" si="11"/>
        <v>12906.3456</v>
      </c>
      <c r="I86" s="4">
        <f t="shared" si="12"/>
        <v>14481.3456</v>
      </c>
      <c r="J86" s="4">
        <f t="shared" si="13"/>
        <v>7158.974399999999</v>
      </c>
      <c r="K86" s="8">
        <v>9274.6</v>
      </c>
      <c r="L86" s="26">
        <f t="shared" si="14"/>
        <v>0.7718903672395574</v>
      </c>
      <c r="M86" s="26">
        <f t="shared" si="15"/>
        <v>0.06306293849996383</v>
      </c>
      <c r="N86" s="1">
        <v>1475.9</v>
      </c>
      <c r="O86" s="1">
        <v>0.03</v>
      </c>
      <c r="P86">
        <f t="shared" si="16"/>
        <v>0.004774006426153149</v>
      </c>
      <c r="Q86">
        <f t="shared" si="17"/>
        <v>789.90168</v>
      </c>
    </row>
    <row r="87" spans="1:17" ht="12.75">
      <c r="A87" s="1" t="s">
        <v>10</v>
      </c>
      <c r="B87" s="1">
        <v>1243</v>
      </c>
      <c r="C87" s="1">
        <v>12.24</v>
      </c>
      <c r="D87" s="1">
        <f t="shared" si="10"/>
        <v>15214.32</v>
      </c>
      <c r="E87" s="4">
        <v>1639</v>
      </c>
      <c r="F87" s="1">
        <v>142</v>
      </c>
      <c r="G87" s="1">
        <v>4.04</v>
      </c>
      <c r="H87" s="4">
        <f t="shared" si="11"/>
        <v>7021.843199999999</v>
      </c>
      <c r="I87" s="4">
        <f t="shared" si="12"/>
        <v>8660.8432</v>
      </c>
      <c r="J87" s="4">
        <f t="shared" si="13"/>
        <v>6553.4768</v>
      </c>
      <c r="K87" s="8">
        <v>5976</v>
      </c>
      <c r="L87" s="26">
        <f t="shared" si="14"/>
        <v>1.0966326639892905</v>
      </c>
      <c r="M87" s="26">
        <f t="shared" si="15"/>
        <v>0.08959417189454988</v>
      </c>
      <c r="N87" s="1">
        <v>702.3</v>
      </c>
      <c r="O87" s="1">
        <v>0.03</v>
      </c>
      <c r="P87">
        <f t="shared" si="16"/>
        <v>0.003525602409638554</v>
      </c>
      <c r="Q87">
        <f t="shared" si="17"/>
        <v>375.87095999999997</v>
      </c>
    </row>
    <row r="88" spans="1:17" ht="12.75">
      <c r="A88" s="1" t="s">
        <v>11</v>
      </c>
      <c r="B88" s="1">
        <v>567</v>
      </c>
      <c r="C88" s="1">
        <v>12.24</v>
      </c>
      <c r="D88" s="1">
        <f t="shared" si="10"/>
        <v>6940.08</v>
      </c>
      <c r="E88" s="4">
        <v>2565</v>
      </c>
      <c r="F88" s="1">
        <v>68</v>
      </c>
      <c r="G88" s="1">
        <v>3.99</v>
      </c>
      <c r="H88" s="4">
        <f t="shared" si="11"/>
        <v>3320.9568</v>
      </c>
      <c r="I88" s="4">
        <f t="shared" si="12"/>
        <v>5885.9568</v>
      </c>
      <c r="J88" s="4">
        <f t="shared" si="13"/>
        <v>1054.1232</v>
      </c>
      <c r="K88" s="8">
        <v>3323</v>
      </c>
      <c r="L88" s="26">
        <f t="shared" si="14"/>
        <v>0.31722034306349683</v>
      </c>
      <c r="M88" s="26">
        <f t="shared" si="15"/>
        <v>0.02591669469473013</v>
      </c>
      <c r="N88" s="1">
        <v>535.7</v>
      </c>
      <c r="O88" s="1">
        <v>0.03</v>
      </c>
      <c r="P88">
        <f t="shared" si="16"/>
        <v>0.0048362925067709905</v>
      </c>
      <c r="Q88">
        <f t="shared" si="17"/>
        <v>286.70664000000005</v>
      </c>
    </row>
    <row r="89" spans="1:17" ht="12.75">
      <c r="A89" s="1" t="s">
        <v>12</v>
      </c>
      <c r="B89" s="1">
        <v>1342</v>
      </c>
      <c r="C89" s="1">
        <v>12.24</v>
      </c>
      <c r="D89" s="1">
        <f t="shared" si="10"/>
        <v>16426.08</v>
      </c>
      <c r="E89" s="4">
        <v>858</v>
      </c>
      <c r="F89" s="1">
        <v>178</v>
      </c>
      <c r="G89" s="1">
        <v>4.04</v>
      </c>
      <c r="H89" s="4">
        <f t="shared" si="11"/>
        <v>8802.0288</v>
      </c>
      <c r="I89" s="4">
        <f t="shared" si="12"/>
        <v>9660.0288</v>
      </c>
      <c r="J89" s="4">
        <f t="shared" si="13"/>
        <v>6766.051200000002</v>
      </c>
      <c r="K89" s="8">
        <v>6352.8</v>
      </c>
      <c r="L89" s="26">
        <f t="shared" si="14"/>
        <v>1.0650502455610127</v>
      </c>
      <c r="M89" s="26">
        <f t="shared" si="15"/>
        <v>0.08701390895106313</v>
      </c>
      <c r="N89" s="1">
        <v>695.7</v>
      </c>
      <c r="O89" s="1">
        <v>0.03</v>
      </c>
      <c r="P89">
        <f t="shared" si="16"/>
        <v>0.0032853230071779376</v>
      </c>
      <c r="Q89">
        <f t="shared" si="17"/>
        <v>372.33864000000005</v>
      </c>
    </row>
    <row r="90" spans="1:17" ht="12.75">
      <c r="A90" s="1" t="s">
        <v>13</v>
      </c>
      <c r="B90" s="1">
        <v>1477</v>
      </c>
      <c r="C90" s="1">
        <v>12.24</v>
      </c>
      <c r="D90" s="1">
        <f t="shared" si="10"/>
        <v>18078.48</v>
      </c>
      <c r="E90" s="4">
        <v>169</v>
      </c>
      <c r="F90" s="1">
        <v>308</v>
      </c>
      <c r="G90" s="1">
        <v>2.63</v>
      </c>
      <c r="H90" s="4">
        <f t="shared" si="11"/>
        <v>9914.8896</v>
      </c>
      <c r="I90" s="4">
        <f t="shared" si="12"/>
        <v>10083.8896</v>
      </c>
      <c r="J90" s="4">
        <f t="shared" si="13"/>
        <v>7994.590399999999</v>
      </c>
      <c r="K90" s="8">
        <v>4188.1</v>
      </c>
      <c r="L90" s="26">
        <f t="shared" si="14"/>
        <v>1.908882404909147</v>
      </c>
      <c r="M90" s="26">
        <f t="shared" si="15"/>
        <v>0.15595444484551854</v>
      </c>
      <c r="N90" s="1">
        <v>1414</v>
      </c>
      <c r="O90" s="1">
        <v>0.029</v>
      </c>
      <c r="P90">
        <f t="shared" si="16"/>
        <v>0.009791074711683102</v>
      </c>
      <c r="Q90">
        <f t="shared" si="17"/>
        <v>731.54704</v>
      </c>
    </row>
    <row r="91" spans="1:17" ht="12.75">
      <c r="A91" s="1" t="s">
        <v>14</v>
      </c>
      <c r="B91" s="1">
        <v>670</v>
      </c>
      <c r="C91" s="1">
        <v>12.24</v>
      </c>
      <c r="D91" s="1">
        <f t="shared" si="10"/>
        <v>8200.8</v>
      </c>
      <c r="E91" s="4">
        <v>640</v>
      </c>
      <c r="F91" s="1">
        <v>107</v>
      </c>
      <c r="G91" s="1">
        <v>4.04</v>
      </c>
      <c r="H91" s="4">
        <f t="shared" si="11"/>
        <v>5291.1072</v>
      </c>
      <c r="I91" s="4">
        <f t="shared" si="12"/>
        <v>5931.1072</v>
      </c>
      <c r="J91" s="4">
        <f t="shared" si="13"/>
        <v>2269.692799999999</v>
      </c>
      <c r="K91" s="8">
        <v>3911.5</v>
      </c>
      <c r="L91" s="26">
        <f t="shared" si="14"/>
        <v>0.580261485363671</v>
      </c>
      <c r="M91" s="26">
        <f t="shared" si="15"/>
        <v>0.04740698409833913</v>
      </c>
      <c r="N91" s="1">
        <v>460.2</v>
      </c>
      <c r="O91" s="1">
        <v>0.03</v>
      </c>
      <c r="P91">
        <f t="shared" si="16"/>
        <v>0.0035295922280455068</v>
      </c>
      <c r="Q91">
        <f t="shared" si="17"/>
        <v>246.29904</v>
      </c>
    </row>
    <row r="92" spans="1:17" ht="12.75">
      <c r="A92" s="1" t="s">
        <v>15</v>
      </c>
      <c r="B92" s="1">
        <v>962</v>
      </c>
      <c r="C92" s="1">
        <v>12.24</v>
      </c>
      <c r="D92" s="1">
        <f t="shared" si="10"/>
        <v>11774.880000000001</v>
      </c>
      <c r="E92" s="4">
        <v>851</v>
      </c>
      <c r="F92" s="1">
        <v>179</v>
      </c>
      <c r="G92" s="1">
        <v>4.04</v>
      </c>
      <c r="H92" s="4">
        <f t="shared" si="11"/>
        <v>8851.4784</v>
      </c>
      <c r="I92" s="4">
        <f t="shared" si="12"/>
        <v>9702.4784</v>
      </c>
      <c r="J92" s="4">
        <f t="shared" si="13"/>
        <v>2072.401600000001</v>
      </c>
      <c r="K92" s="8">
        <v>5485.5</v>
      </c>
      <c r="L92" s="26">
        <f t="shared" si="14"/>
        <v>0.3777962993346096</v>
      </c>
      <c r="M92" s="26">
        <f t="shared" si="15"/>
        <v>0.030865710729951767</v>
      </c>
      <c r="N92" s="1">
        <v>817.7</v>
      </c>
      <c r="O92" s="1">
        <v>0.03</v>
      </c>
      <c r="P92">
        <f t="shared" si="16"/>
        <v>0.0044719715613891165</v>
      </c>
      <c r="Q92">
        <f t="shared" si="17"/>
        <v>437.63304</v>
      </c>
    </row>
    <row r="93" spans="1:17" ht="12.75">
      <c r="A93" s="1" t="s">
        <v>16</v>
      </c>
      <c r="B93" s="1">
        <v>864</v>
      </c>
      <c r="C93" s="1">
        <v>12.24</v>
      </c>
      <c r="D93" s="1">
        <f t="shared" si="10"/>
        <v>10575.36</v>
      </c>
      <c r="E93" s="4">
        <v>989</v>
      </c>
      <c r="F93" s="1">
        <v>135</v>
      </c>
      <c r="G93" s="1">
        <v>3.99</v>
      </c>
      <c r="H93" s="4">
        <f t="shared" si="11"/>
        <v>6593.076</v>
      </c>
      <c r="I93" s="4">
        <f t="shared" si="12"/>
        <v>7582.076</v>
      </c>
      <c r="J93" s="4">
        <f t="shared" si="13"/>
        <v>2993.2840000000006</v>
      </c>
      <c r="K93" s="8">
        <v>4673.4</v>
      </c>
      <c r="L93" s="26">
        <f t="shared" si="14"/>
        <v>0.6404938588607868</v>
      </c>
      <c r="M93" s="26">
        <f t="shared" si="15"/>
        <v>0.052327929645489116</v>
      </c>
      <c r="N93" s="1">
        <v>468.6</v>
      </c>
      <c r="O93" s="1">
        <v>0.03</v>
      </c>
      <c r="P93">
        <f t="shared" si="16"/>
        <v>0.003008088329695725</v>
      </c>
      <c r="Q93">
        <f t="shared" si="17"/>
        <v>250.79471999999998</v>
      </c>
    </row>
    <row r="94" spans="1:17" ht="12.75">
      <c r="A94" s="1" t="s">
        <v>42</v>
      </c>
      <c r="B94" s="1">
        <v>661</v>
      </c>
      <c r="C94" s="1">
        <v>12.24</v>
      </c>
      <c r="D94" s="1">
        <f t="shared" si="10"/>
        <v>8090.64</v>
      </c>
      <c r="E94" s="4">
        <v>2580</v>
      </c>
      <c r="F94" s="1">
        <v>2</v>
      </c>
      <c r="G94" s="1">
        <v>4.04</v>
      </c>
      <c r="H94" s="4">
        <f t="shared" si="11"/>
        <v>98.89920000000001</v>
      </c>
      <c r="I94" s="4">
        <f t="shared" si="12"/>
        <v>2678.8992</v>
      </c>
      <c r="J94" s="4">
        <f t="shared" si="13"/>
        <v>5411.7408000000005</v>
      </c>
      <c r="K94" s="8">
        <v>6784.7</v>
      </c>
      <c r="L94" s="26">
        <f t="shared" si="14"/>
        <v>0.7976389228705766</v>
      </c>
      <c r="M94" s="26">
        <f t="shared" si="15"/>
        <v>0.06516657866589678</v>
      </c>
      <c r="N94" s="1">
        <v>993.6</v>
      </c>
      <c r="O94" s="1">
        <v>0.03</v>
      </c>
      <c r="P94">
        <f t="shared" si="16"/>
        <v>0.004393414594602562</v>
      </c>
      <c r="Q94">
        <f t="shared" si="17"/>
        <v>531.77472</v>
      </c>
    </row>
    <row r="95" spans="1:17" ht="12.75">
      <c r="A95" s="1" t="s">
        <v>48</v>
      </c>
      <c r="B95" s="1">
        <v>346</v>
      </c>
      <c r="C95" s="1">
        <v>12.24</v>
      </c>
      <c r="D95" s="1">
        <f t="shared" si="10"/>
        <v>4235.04</v>
      </c>
      <c r="E95" s="4"/>
      <c r="F95" s="1"/>
      <c r="G95" s="1">
        <v>2.63</v>
      </c>
      <c r="H95" s="1">
        <f t="shared" si="11"/>
        <v>0</v>
      </c>
      <c r="I95" s="4">
        <f t="shared" si="12"/>
        <v>0</v>
      </c>
      <c r="J95" s="1">
        <f t="shared" si="13"/>
        <v>4235.04</v>
      </c>
      <c r="K95" s="8">
        <v>663.9</v>
      </c>
      <c r="L95" s="26">
        <f t="shared" si="14"/>
        <v>6.379032986895617</v>
      </c>
      <c r="M95" s="26">
        <f t="shared" si="15"/>
        <v>0.5211628257267661</v>
      </c>
      <c r="N95" s="1">
        <v>358.5</v>
      </c>
      <c r="O95" s="1">
        <v>0.029</v>
      </c>
      <c r="P95">
        <f t="shared" si="16"/>
        <v>0.015659737912336196</v>
      </c>
      <c r="Q95">
        <f t="shared" si="17"/>
        <v>185.47356</v>
      </c>
    </row>
    <row r="96" spans="1:17" ht="12.75">
      <c r="A96" s="1"/>
      <c r="B96" s="1"/>
      <c r="C96" s="1"/>
      <c r="D96" s="1"/>
      <c r="E96" s="4"/>
      <c r="F96" s="1"/>
      <c r="G96" s="1"/>
      <c r="H96" s="1"/>
      <c r="I96" s="4"/>
      <c r="J96" s="1"/>
      <c r="K96" s="8"/>
      <c r="L96" s="1"/>
      <c r="M96" s="52"/>
      <c r="N96" s="52"/>
      <c r="O96" s="52"/>
      <c r="P96">
        <v>0</v>
      </c>
      <c r="Q96">
        <f t="shared" si="17"/>
        <v>0</v>
      </c>
    </row>
    <row r="97" spans="1:17" ht="12.75">
      <c r="A97" s="7" t="s">
        <v>26</v>
      </c>
      <c r="B97" s="1">
        <f>SUM(SUM(B77:B96))</f>
        <v>20090</v>
      </c>
      <c r="C97" s="1"/>
      <c r="D97" s="1"/>
      <c r="E97" s="8">
        <f>SUM(SUM(E77:E96))</f>
        <v>39387</v>
      </c>
      <c r="F97" s="1">
        <f>SUM(F77:F96)</f>
        <v>2112</v>
      </c>
      <c r="G97" s="1"/>
      <c r="H97" s="1"/>
      <c r="I97" s="8"/>
      <c r="J97" s="7"/>
      <c r="K97" s="8"/>
      <c r="L97" s="1"/>
      <c r="M97" s="1"/>
      <c r="N97" s="1"/>
      <c r="O97" s="1"/>
      <c r="P97" s="1"/>
      <c r="Q97" s="1">
        <f>SUM(Q77:Q96)</f>
        <v>8479.18252</v>
      </c>
    </row>
    <row r="98" ht="12.75">
      <c r="C98" s="1"/>
    </row>
  </sheetData>
  <sheetProtection/>
  <mergeCells count="4">
    <mergeCell ref="A2:L2"/>
    <mergeCell ref="L38:M38"/>
    <mergeCell ref="I38:I39"/>
    <mergeCell ref="A74:M7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6" sqref="A6:IV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0">
      <selection activeCell="H35" sqref="H35"/>
    </sheetView>
  </sheetViews>
  <sheetFormatPr defaultColWidth="9.00390625" defaultRowHeight="12.75"/>
  <cols>
    <col min="1" max="1" width="17.625" style="0" customWidth="1"/>
    <col min="2" max="2" width="6.75390625" style="0" customWidth="1"/>
    <col min="3" max="3" width="5.00390625" style="0" bestFit="1" customWidth="1"/>
    <col min="4" max="4" width="8.125" style="0" customWidth="1"/>
    <col min="5" max="5" width="6.75390625" style="0" customWidth="1"/>
    <col min="6" max="6" width="7.00390625" style="0" customWidth="1"/>
    <col min="7" max="7" width="6.75390625" style="0" customWidth="1"/>
    <col min="8" max="8" width="6.00390625" style="0" customWidth="1"/>
    <col min="9" max="9" width="7.875" style="0" customWidth="1"/>
    <col min="10" max="10" width="6.125" style="0" customWidth="1"/>
    <col min="11" max="11" width="8.125" style="0" customWidth="1"/>
    <col min="12" max="12" width="7.625" style="0" customWidth="1"/>
    <col min="13" max="14" width="7.125" style="0" customWidth="1"/>
    <col min="15" max="15" width="7.75390625" style="0" customWidth="1"/>
    <col min="16" max="16" width="7.25390625" style="0" customWidth="1"/>
    <col min="17" max="17" width="8.125" style="0" customWidth="1"/>
    <col min="19" max="19" width="7.375" style="3" customWidth="1"/>
  </cols>
  <sheetData>
    <row r="1" spans="1:19" ht="55.5" customHeight="1">
      <c r="A1" s="63" t="s">
        <v>118</v>
      </c>
      <c r="B1" s="63"/>
      <c r="C1" s="63"/>
      <c r="D1" s="63"/>
      <c r="E1" s="63"/>
      <c r="F1" s="64"/>
      <c r="G1" s="16"/>
      <c r="H1" s="15" t="s">
        <v>199</v>
      </c>
      <c r="I1" s="15">
        <v>2014</v>
      </c>
      <c r="J1" s="16"/>
      <c r="K1" s="16"/>
      <c r="L1" s="16" t="s">
        <v>120</v>
      </c>
      <c r="M1" s="16"/>
      <c r="N1" s="16"/>
      <c r="O1" s="16"/>
      <c r="P1" s="16"/>
      <c r="Q1" s="16" t="s">
        <v>119</v>
      </c>
      <c r="R1" s="16"/>
      <c r="S1" s="16"/>
    </row>
    <row r="2" spans="1:1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5"/>
      <c r="N2" s="55"/>
      <c r="O2" s="17" t="s">
        <v>77</v>
      </c>
    </row>
    <row r="3" spans="1:19" ht="25.5" customHeight="1">
      <c r="A3" s="252" t="s">
        <v>116</v>
      </c>
      <c r="B3" s="254" t="s">
        <v>102</v>
      </c>
      <c r="C3" s="254" t="s">
        <v>103</v>
      </c>
      <c r="D3" s="252" t="s">
        <v>104</v>
      </c>
      <c r="E3" s="254" t="s">
        <v>100</v>
      </c>
      <c r="F3" s="252" t="s">
        <v>105</v>
      </c>
      <c r="G3" s="252" t="s">
        <v>106</v>
      </c>
      <c r="H3" s="252" t="s">
        <v>107</v>
      </c>
      <c r="I3" s="258" t="s">
        <v>108</v>
      </c>
      <c r="J3" s="256" t="s">
        <v>109</v>
      </c>
      <c r="K3" s="252" t="s">
        <v>110</v>
      </c>
      <c r="L3" s="252" t="s">
        <v>111</v>
      </c>
      <c r="M3" s="252" t="s">
        <v>112</v>
      </c>
      <c r="N3" s="254" t="s">
        <v>101</v>
      </c>
      <c r="O3" s="252" t="s">
        <v>99</v>
      </c>
      <c r="P3" s="260" t="s">
        <v>113</v>
      </c>
      <c r="Q3" s="256" t="s">
        <v>114</v>
      </c>
      <c r="R3" s="262" t="s">
        <v>115</v>
      </c>
      <c r="S3" s="264" t="s">
        <v>117</v>
      </c>
    </row>
    <row r="4" spans="1:19" ht="31.5" customHeight="1">
      <c r="A4" s="253"/>
      <c r="B4" s="255"/>
      <c r="C4" s="255"/>
      <c r="D4" s="253"/>
      <c r="E4" s="255"/>
      <c r="F4" s="253"/>
      <c r="G4" s="253"/>
      <c r="H4" s="253"/>
      <c r="I4" s="259"/>
      <c r="J4" s="257"/>
      <c r="K4" s="253"/>
      <c r="L4" s="253"/>
      <c r="M4" s="253"/>
      <c r="N4" s="255"/>
      <c r="O4" s="253"/>
      <c r="P4" s="261"/>
      <c r="Q4" s="257"/>
      <c r="R4" s="263"/>
      <c r="S4" s="265"/>
    </row>
    <row r="5" spans="1:19" ht="12.75">
      <c r="A5" s="61" t="s">
        <v>0</v>
      </c>
      <c r="B5" s="59">
        <v>382.67</v>
      </c>
      <c r="C5" s="59"/>
      <c r="D5" s="2">
        <f aca="true" t="shared" si="0" ref="D5:D24">B5+C5</f>
        <v>382.67</v>
      </c>
      <c r="E5" s="67">
        <v>0.0656</v>
      </c>
      <c r="F5" s="20">
        <f aca="true" t="shared" si="1" ref="F5:F24">D5*E5</f>
        <v>25.103152</v>
      </c>
      <c r="G5" s="20">
        <f aca="true" t="shared" si="2" ref="G5:G24">B5*14.34/991.2</f>
        <v>5.536206416464891</v>
      </c>
      <c r="H5" s="20">
        <f>C5*13.47/991.2</f>
        <v>0</v>
      </c>
      <c r="I5" s="65">
        <f aca="true" t="shared" si="3" ref="I5:I24">F5+G5+H5</f>
        <v>30.639358416464894</v>
      </c>
      <c r="J5" s="62">
        <v>991.2</v>
      </c>
      <c r="K5" s="2">
        <f aca="true" t="shared" si="4" ref="K5:K24">I5*J5</f>
        <v>30369.732062400006</v>
      </c>
      <c r="L5" s="20">
        <f aca="true" t="shared" si="5" ref="L5:L24">D5</f>
        <v>382.67</v>
      </c>
      <c r="M5" s="20">
        <f aca="true" t="shared" si="6" ref="M5:M24">K5/L5</f>
        <v>79.36272000000001</v>
      </c>
      <c r="N5" s="60">
        <v>251.07</v>
      </c>
      <c r="O5" s="20">
        <f aca="true" t="shared" si="7" ref="O5:O24">G5+H5+N5</f>
        <v>256.6062064164649</v>
      </c>
      <c r="P5" s="65">
        <f aca="true" t="shared" si="8" ref="P5:P24">O5-I5</f>
        <v>225.966848</v>
      </c>
      <c r="Q5" s="58">
        <v>9290.5</v>
      </c>
      <c r="R5" s="1">
        <f aca="true" t="shared" si="9" ref="R5:R25">P5*J5</f>
        <v>223978.3397376</v>
      </c>
      <c r="S5" s="4">
        <f aca="true" t="shared" si="10" ref="S5:S24">R5/Q5</f>
        <v>24.108319222603736</v>
      </c>
    </row>
    <row r="6" spans="1:19" ht="12.75">
      <c r="A6" s="61" t="s">
        <v>1</v>
      </c>
      <c r="B6" s="59">
        <v>44.062</v>
      </c>
      <c r="C6" s="59">
        <v>884</v>
      </c>
      <c r="D6" s="2">
        <f t="shared" si="0"/>
        <v>928.062</v>
      </c>
      <c r="E6" s="67">
        <v>0.0647</v>
      </c>
      <c r="F6" s="20">
        <f t="shared" si="1"/>
        <v>60.04561139999999</v>
      </c>
      <c r="G6" s="20">
        <f t="shared" si="2"/>
        <v>0.6374587167070217</v>
      </c>
      <c r="H6" s="20">
        <f>C6*13.47/991.2</f>
        <v>12.01319612590799</v>
      </c>
      <c r="I6" s="65">
        <f t="shared" si="3"/>
        <v>72.69626624261501</v>
      </c>
      <c r="J6" s="62">
        <v>991.2</v>
      </c>
      <c r="K6" s="2">
        <f t="shared" si="4"/>
        <v>72056.53909968</v>
      </c>
      <c r="L6" s="2">
        <f t="shared" si="5"/>
        <v>928.062</v>
      </c>
      <c r="M6" s="20">
        <f t="shared" si="6"/>
        <v>77.6419453653743</v>
      </c>
      <c r="N6" s="60">
        <v>322.23</v>
      </c>
      <c r="O6" s="20">
        <f t="shared" si="7"/>
        <v>334.88065484261506</v>
      </c>
      <c r="P6" s="65">
        <f t="shared" si="8"/>
        <v>262.18438860000003</v>
      </c>
      <c r="Q6" s="58">
        <v>9725.3</v>
      </c>
      <c r="R6" s="1">
        <f t="shared" si="9"/>
        <v>259877.16598032005</v>
      </c>
      <c r="S6" s="4">
        <f t="shared" si="10"/>
        <v>26.721763439721148</v>
      </c>
    </row>
    <row r="7" spans="1:19" ht="12.75">
      <c r="A7" s="61" t="s">
        <v>2</v>
      </c>
      <c r="B7" s="59">
        <v>55.085</v>
      </c>
      <c r="C7" s="59">
        <v>459</v>
      </c>
      <c r="D7" s="2">
        <f t="shared" si="0"/>
        <v>514.085</v>
      </c>
      <c r="E7" s="67">
        <v>0.0638</v>
      </c>
      <c r="F7" s="20">
        <f t="shared" si="1"/>
        <v>32.798623</v>
      </c>
      <c r="G7" s="20">
        <f t="shared" si="2"/>
        <v>0.7969319007263922</v>
      </c>
      <c r="H7" s="20">
        <f>C7*13.47/991.2</f>
        <v>6.237621065375303</v>
      </c>
      <c r="I7" s="65">
        <f t="shared" si="3"/>
        <v>39.83317596610169</v>
      </c>
      <c r="J7" s="62">
        <v>991.2</v>
      </c>
      <c r="K7" s="2">
        <f t="shared" si="4"/>
        <v>39482.644017599996</v>
      </c>
      <c r="L7" s="2">
        <f t="shared" si="5"/>
        <v>514.085</v>
      </c>
      <c r="M7" s="20">
        <f t="shared" si="6"/>
        <v>76.80178184074617</v>
      </c>
      <c r="N7" s="60">
        <v>213.44</v>
      </c>
      <c r="O7" s="20">
        <f t="shared" si="7"/>
        <v>220.4745529661017</v>
      </c>
      <c r="P7" s="65">
        <f t="shared" si="8"/>
        <v>180.641377</v>
      </c>
      <c r="Q7" s="58">
        <v>6610</v>
      </c>
      <c r="R7" s="1">
        <f t="shared" si="9"/>
        <v>179051.7328824</v>
      </c>
      <c r="S7" s="4">
        <f t="shared" si="10"/>
        <v>27.08800800036309</v>
      </c>
    </row>
    <row r="8" spans="1:19" ht="12.75">
      <c r="A8" s="61" t="s">
        <v>3</v>
      </c>
      <c r="B8" s="59">
        <v>583.77</v>
      </c>
      <c r="C8" s="59">
        <v>0</v>
      </c>
      <c r="D8" s="2">
        <f t="shared" si="0"/>
        <v>583.77</v>
      </c>
      <c r="E8" s="67">
        <v>0.0617</v>
      </c>
      <c r="F8" s="20">
        <f t="shared" si="1"/>
        <v>36.018609</v>
      </c>
      <c r="G8" s="20">
        <f t="shared" si="2"/>
        <v>8.445582929782082</v>
      </c>
      <c r="H8" s="20">
        <v>0</v>
      </c>
      <c r="I8" s="65">
        <f t="shared" si="3"/>
        <v>44.46419192978208</v>
      </c>
      <c r="J8" s="62">
        <v>991.2</v>
      </c>
      <c r="K8" s="2">
        <f t="shared" si="4"/>
        <v>44072.907040800004</v>
      </c>
      <c r="L8" s="2">
        <f t="shared" si="5"/>
        <v>583.77</v>
      </c>
      <c r="M8" s="20">
        <f t="shared" si="6"/>
        <v>75.49704000000001</v>
      </c>
      <c r="N8" s="60">
        <v>231.78</v>
      </c>
      <c r="O8" s="20">
        <f t="shared" si="7"/>
        <v>240.2255829297821</v>
      </c>
      <c r="P8" s="65">
        <f t="shared" si="8"/>
        <v>195.761391</v>
      </c>
      <c r="Q8" s="58">
        <v>6343.9</v>
      </c>
      <c r="R8" s="1">
        <f t="shared" si="9"/>
        <v>194038.69075920002</v>
      </c>
      <c r="S8" s="4">
        <f t="shared" si="10"/>
        <v>30.586656592821456</v>
      </c>
    </row>
    <row r="9" spans="1:19" ht="12.75">
      <c r="A9" s="61" t="s">
        <v>4</v>
      </c>
      <c r="B9" s="59">
        <v>428.5</v>
      </c>
      <c r="C9" s="59">
        <v>0</v>
      </c>
      <c r="D9" s="2">
        <f t="shared" si="0"/>
        <v>428.5</v>
      </c>
      <c r="E9" s="67">
        <v>0.061</v>
      </c>
      <c r="F9" s="20">
        <f t="shared" si="1"/>
        <v>26.1385</v>
      </c>
      <c r="G9" s="20">
        <f t="shared" si="2"/>
        <v>6.199243341404357</v>
      </c>
      <c r="H9" s="20">
        <v>0</v>
      </c>
      <c r="I9" s="65">
        <f t="shared" si="3"/>
        <v>32.337743341404355</v>
      </c>
      <c r="J9" s="62">
        <v>991.2</v>
      </c>
      <c r="K9" s="2">
        <f t="shared" si="4"/>
        <v>32053.171199999997</v>
      </c>
      <c r="L9" s="2">
        <f t="shared" si="5"/>
        <v>428.5</v>
      </c>
      <c r="M9" s="20">
        <f t="shared" si="6"/>
        <v>74.80319999999999</v>
      </c>
      <c r="N9" s="60">
        <v>178.38</v>
      </c>
      <c r="O9" s="20">
        <f t="shared" si="7"/>
        <v>184.57924334140435</v>
      </c>
      <c r="P9" s="65">
        <f t="shared" si="8"/>
        <v>152.2415</v>
      </c>
      <c r="Q9" s="58">
        <v>5989.7</v>
      </c>
      <c r="R9" s="1">
        <f t="shared" si="9"/>
        <v>150901.7748</v>
      </c>
      <c r="S9" s="4">
        <f t="shared" si="10"/>
        <v>25.193544718433312</v>
      </c>
    </row>
    <row r="10" spans="1:19" ht="12.75">
      <c r="A10" s="61" t="s">
        <v>5</v>
      </c>
      <c r="B10" s="59">
        <v>479.42</v>
      </c>
      <c r="C10" s="59">
        <v>0</v>
      </c>
      <c r="D10" s="2">
        <f t="shared" si="0"/>
        <v>479.42</v>
      </c>
      <c r="E10" s="67">
        <v>0.06</v>
      </c>
      <c r="F10" s="20">
        <f t="shared" si="1"/>
        <v>28.7652</v>
      </c>
      <c r="G10" s="20">
        <f t="shared" si="2"/>
        <v>6.9359188861985475</v>
      </c>
      <c r="H10" s="20">
        <v>0</v>
      </c>
      <c r="I10" s="65">
        <f t="shared" si="3"/>
        <v>35.70111888619855</v>
      </c>
      <c r="J10" s="62">
        <v>991.2</v>
      </c>
      <c r="K10" s="2">
        <f t="shared" si="4"/>
        <v>35386.94904000001</v>
      </c>
      <c r="L10" s="2">
        <f t="shared" si="5"/>
        <v>479.42</v>
      </c>
      <c r="M10" s="20">
        <f t="shared" si="6"/>
        <v>73.81200000000001</v>
      </c>
      <c r="N10" s="60">
        <v>196.53</v>
      </c>
      <c r="O10" s="20">
        <f t="shared" si="7"/>
        <v>203.46591888619855</v>
      </c>
      <c r="P10" s="65">
        <f t="shared" si="8"/>
        <v>167.7648</v>
      </c>
      <c r="Q10" s="58">
        <v>5514.4</v>
      </c>
      <c r="R10" s="1">
        <f t="shared" si="9"/>
        <v>166288.46976</v>
      </c>
      <c r="S10" s="4">
        <f t="shared" si="10"/>
        <v>30.155315131292618</v>
      </c>
    </row>
    <row r="11" spans="1:19" ht="12.75">
      <c r="A11" s="61" t="s">
        <v>6</v>
      </c>
      <c r="B11" s="59">
        <v>25.165</v>
      </c>
      <c r="C11" s="59">
        <v>238</v>
      </c>
      <c r="D11" s="2">
        <f t="shared" si="0"/>
        <v>263.165</v>
      </c>
      <c r="E11" s="67">
        <v>0.0649</v>
      </c>
      <c r="F11" s="20">
        <f t="shared" si="1"/>
        <v>17.0794085</v>
      </c>
      <c r="G11" s="20">
        <f t="shared" si="2"/>
        <v>0.3640699152542372</v>
      </c>
      <c r="H11" s="20">
        <f>C11*13.47/991.2</f>
        <v>3.234322033898305</v>
      </c>
      <c r="I11" s="65">
        <f t="shared" si="3"/>
        <v>20.677800449152542</v>
      </c>
      <c r="J11" s="62">
        <v>991.2</v>
      </c>
      <c r="K11" s="2">
        <f t="shared" si="4"/>
        <v>20495.8358052</v>
      </c>
      <c r="L11" s="2">
        <f t="shared" si="5"/>
        <v>263.165</v>
      </c>
      <c r="M11" s="20">
        <f t="shared" si="6"/>
        <v>77.88207324378241</v>
      </c>
      <c r="N11" s="60">
        <v>204.52</v>
      </c>
      <c r="O11" s="20">
        <f t="shared" si="7"/>
        <v>208.11839194915254</v>
      </c>
      <c r="P11" s="65">
        <f t="shared" si="8"/>
        <v>187.44059149999998</v>
      </c>
      <c r="Q11" s="58">
        <v>7253</v>
      </c>
      <c r="R11" s="1">
        <f t="shared" si="9"/>
        <v>185791.1142948</v>
      </c>
      <c r="S11" s="4">
        <f t="shared" si="10"/>
        <v>25.61576096715842</v>
      </c>
    </row>
    <row r="12" spans="1:19" ht="12.75">
      <c r="A12" s="61" t="s">
        <v>7</v>
      </c>
      <c r="B12" s="59">
        <v>1.157</v>
      </c>
      <c r="C12" s="59">
        <v>0</v>
      </c>
      <c r="D12" s="2">
        <f t="shared" si="0"/>
        <v>1.157</v>
      </c>
      <c r="E12" s="67">
        <v>0.0651</v>
      </c>
      <c r="F12" s="20">
        <f t="shared" si="1"/>
        <v>0.0753207</v>
      </c>
      <c r="G12" s="20">
        <f t="shared" si="2"/>
        <v>0.0167386803874092</v>
      </c>
      <c r="H12" s="20">
        <v>0</v>
      </c>
      <c r="I12" s="65">
        <f t="shared" si="3"/>
        <v>0.09205938038740921</v>
      </c>
      <c r="J12" s="62">
        <v>991.2</v>
      </c>
      <c r="K12" s="2">
        <f t="shared" si="4"/>
        <v>91.24925784000001</v>
      </c>
      <c r="L12" s="2">
        <f t="shared" si="5"/>
        <v>1.157</v>
      </c>
      <c r="M12" s="20">
        <f t="shared" si="6"/>
        <v>78.86712000000001</v>
      </c>
      <c r="N12" s="60">
        <v>26.56</v>
      </c>
      <c r="O12" s="20">
        <f t="shared" si="7"/>
        <v>26.576738680387407</v>
      </c>
      <c r="P12" s="65">
        <f t="shared" si="8"/>
        <v>26.4846793</v>
      </c>
      <c r="Q12" s="58">
        <v>760.9</v>
      </c>
      <c r="R12" s="1">
        <f>P12*1590.78</f>
        <v>42131.298136854</v>
      </c>
      <c r="S12" s="4">
        <f t="shared" si="10"/>
        <v>55.370348451641476</v>
      </c>
    </row>
    <row r="13" spans="1:19" ht="12.75">
      <c r="A13" s="61" t="s">
        <v>8</v>
      </c>
      <c r="B13" s="59">
        <v>282.6</v>
      </c>
      <c r="C13" s="59">
        <v>0</v>
      </c>
      <c r="D13" s="2">
        <f t="shared" si="0"/>
        <v>282.6</v>
      </c>
      <c r="E13" s="67">
        <v>0.0659</v>
      </c>
      <c r="F13" s="20">
        <f t="shared" si="1"/>
        <v>18.623340000000002</v>
      </c>
      <c r="G13" s="20">
        <f t="shared" si="2"/>
        <v>4.088462469733656</v>
      </c>
      <c r="H13" s="20">
        <v>0</v>
      </c>
      <c r="I13" s="65">
        <f t="shared" si="3"/>
        <v>22.71180246973366</v>
      </c>
      <c r="J13" s="62">
        <v>991.2</v>
      </c>
      <c r="K13" s="2">
        <f t="shared" si="4"/>
        <v>22511.938608000004</v>
      </c>
      <c r="L13" s="2">
        <f t="shared" si="5"/>
        <v>282.6</v>
      </c>
      <c r="M13" s="20">
        <f t="shared" si="6"/>
        <v>79.66008000000001</v>
      </c>
      <c r="N13" s="60">
        <v>133.93</v>
      </c>
      <c r="O13" s="20">
        <f t="shared" si="7"/>
        <v>138.01846246973366</v>
      </c>
      <c r="P13" s="65">
        <f t="shared" si="8"/>
        <v>115.30666000000001</v>
      </c>
      <c r="Q13" s="58">
        <v>3718.8</v>
      </c>
      <c r="R13" s="1">
        <f t="shared" si="9"/>
        <v>114291.96139200001</v>
      </c>
      <c r="S13" s="4">
        <f t="shared" si="10"/>
        <v>30.733559586963537</v>
      </c>
    </row>
    <row r="14" spans="1:19" ht="12.75">
      <c r="A14" s="61" t="s">
        <v>9</v>
      </c>
      <c r="B14" s="59">
        <v>404.21</v>
      </c>
      <c r="C14" s="59">
        <v>0</v>
      </c>
      <c r="D14" s="2">
        <f t="shared" si="0"/>
        <v>404.21</v>
      </c>
      <c r="E14" s="67">
        <v>0.0659</v>
      </c>
      <c r="F14" s="20">
        <f t="shared" si="1"/>
        <v>26.637438999999997</v>
      </c>
      <c r="G14" s="20">
        <f t="shared" si="2"/>
        <v>5.847832324455205</v>
      </c>
      <c r="H14" s="20">
        <v>0</v>
      </c>
      <c r="I14" s="65">
        <f t="shared" si="3"/>
        <v>32.485271324455205</v>
      </c>
      <c r="J14" s="62">
        <v>991.2</v>
      </c>
      <c r="K14" s="2">
        <f t="shared" si="4"/>
        <v>32199.4009368</v>
      </c>
      <c r="L14" s="2">
        <f t="shared" si="5"/>
        <v>404.21</v>
      </c>
      <c r="M14" s="20">
        <f t="shared" si="6"/>
        <v>79.66008000000001</v>
      </c>
      <c r="N14" s="60">
        <v>326.96</v>
      </c>
      <c r="O14" s="20">
        <f t="shared" si="7"/>
        <v>332.8078323244552</v>
      </c>
      <c r="P14" s="65">
        <f t="shared" si="8"/>
        <v>300.322561</v>
      </c>
      <c r="Q14" s="58">
        <v>9274.6</v>
      </c>
      <c r="R14" s="1">
        <f t="shared" si="9"/>
        <v>297679.72246320004</v>
      </c>
      <c r="S14" s="4">
        <f t="shared" si="10"/>
        <v>32.09623298721239</v>
      </c>
    </row>
    <row r="15" spans="1:19" ht="12.75">
      <c r="A15" s="61" t="s">
        <v>10</v>
      </c>
      <c r="B15" s="59">
        <v>425.1</v>
      </c>
      <c r="C15" s="59">
        <v>0</v>
      </c>
      <c r="D15" s="2">
        <f t="shared" si="0"/>
        <v>425.1</v>
      </c>
      <c r="E15" s="67">
        <v>0.0629</v>
      </c>
      <c r="F15" s="20">
        <f t="shared" si="1"/>
        <v>26.73879</v>
      </c>
      <c r="G15" s="20">
        <f t="shared" si="2"/>
        <v>6.150054479418886</v>
      </c>
      <c r="H15" s="20">
        <v>0</v>
      </c>
      <c r="I15" s="65">
        <f t="shared" si="3"/>
        <v>32.888844479418886</v>
      </c>
      <c r="J15" s="62">
        <v>991.2</v>
      </c>
      <c r="K15" s="2">
        <f t="shared" si="4"/>
        <v>32599.422648</v>
      </c>
      <c r="L15" s="2">
        <f t="shared" si="5"/>
        <v>425.1</v>
      </c>
      <c r="M15" s="20">
        <f t="shared" si="6"/>
        <v>76.68647999999999</v>
      </c>
      <c r="N15" s="60">
        <v>157.17</v>
      </c>
      <c r="O15" s="20">
        <f t="shared" si="7"/>
        <v>163.32005447941887</v>
      </c>
      <c r="P15" s="65">
        <f t="shared" si="8"/>
        <v>130.43121</v>
      </c>
      <c r="Q15" s="58">
        <v>5981.3</v>
      </c>
      <c r="R15" s="1">
        <f t="shared" si="9"/>
        <v>129283.415352</v>
      </c>
      <c r="S15" s="4">
        <f t="shared" si="10"/>
        <v>21.61460139969572</v>
      </c>
    </row>
    <row r="16" spans="1:19" ht="12.75">
      <c r="A16" s="61" t="s">
        <v>11</v>
      </c>
      <c r="B16" s="59">
        <v>398.72</v>
      </c>
      <c r="C16" s="59">
        <v>0</v>
      </c>
      <c r="D16" s="2">
        <f t="shared" si="0"/>
        <v>398.72</v>
      </c>
      <c r="E16" s="67">
        <v>0.063</v>
      </c>
      <c r="F16" s="20">
        <f t="shared" si="1"/>
        <v>25.11936</v>
      </c>
      <c r="G16" s="20">
        <f t="shared" si="2"/>
        <v>5.768406779661016</v>
      </c>
      <c r="H16" s="20">
        <v>0</v>
      </c>
      <c r="I16" s="65">
        <f t="shared" si="3"/>
        <v>30.887766779661018</v>
      </c>
      <c r="J16" s="62">
        <v>991.2</v>
      </c>
      <c r="K16" s="2">
        <f t="shared" si="4"/>
        <v>30615.954432000002</v>
      </c>
      <c r="L16" s="20">
        <f t="shared" si="5"/>
        <v>398.72</v>
      </c>
      <c r="M16" s="20">
        <f t="shared" si="6"/>
        <v>76.7856</v>
      </c>
      <c r="N16" s="60">
        <v>140.1</v>
      </c>
      <c r="O16" s="20">
        <f t="shared" si="7"/>
        <v>145.868406779661</v>
      </c>
      <c r="P16" s="65">
        <f t="shared" si="8"/>
        <v>114.98063999999998</v>
      </c>
      <c r="Q16" s="58">
        <v>3323</v>
      </c>
      <c r="R16" s="1">
        <f t="shared" si="9"/>
        <v>113968.81036799999</v>
      </c>
      <c r="S16" s="4">
        <f t="shared" si="10"/>
        <v>34.296963697863376</v>
      </c>
    </row>
    <row r="17" spans="1:19" ht="12.75">
      <c r="A17" s="61" t="s">
        <v>12</v>
      </c>
      <c r="B17" s="59">
        <v>578.66</v>
      </c>
      <c r="C17" s="59">
        <v>0</v>
      </c>
      <c r="D17" s="2">
        <f t="shared" si="0"/>
        <v>578.66</v>
      </c>
      <c r="E17" s="67">
        <v>0.0666</v>
      </c>
      <c r="F17" s="20">
        <f t="shared" si="1"/>
        <v>38.538756</v>
      </c>
      <c r="G17" s="20">
        <f t="shared" si="2"/>
        <v>8.371654963680387</v>
      </c>
      <c r="H17" s="20">
        <v>0</v>
      </c>
      <c r="I17" s="65">
        <f t="shared" si="3"/>
        <v>46.910410963680384</v>
      </c>
      <c r="J17" s="62">
        <v>991.2</v>
      </c>
      <c r="K17" s="2">
        <f t="shared" si="4"/>
        <v>46497.5993472</v>
      </c>
      <c r="L17" s="20">
        <f t="shared" si="5"/>
        <v>578.66</v>
      </c>
      <c r="M17" s="20">
        <f t="shared" si="6"/>
        <v>80.35392</v>
      </c>
      <c r="N17" s="60">
        <v>223.02</v>
      </c>
      <c r="O17" s="20">
        <f t="shared" si="7"/>
        <v>231.3916549636804</v>
      </c>
      <c r="P17" s="65">
        <f t="shared" si="8"/>
        <v>184.481244</v>
      </c>
      <c r="Q17" s="58">
        <v>6355.1</v>
      </c>
      <c r="R17" s="1">
        <f t="shared" si="9"/>
        <v>182857.8090528</v>
      </c>
      <c r="S17" s="4">
        <f t="shared" si="10"/>
        <v>28.77339602095954</v>
      </c>
    </row>
    <row r="18" spans="1:19" ht="12.75">
      <c r="A18" s="61" t="s">
        <v>13</v>
      </c>
      <c r="B18" s="59">
        <v>619.67</v>
      </c>
      <c r="C18" s="59">
        <v>0</v>
      </c>
      <c r="D18" s="2">
        <f t="shared" si="0"/>
        <v>619.67</v>
      </c>
      <c r="E18" s="67">
        <v>0.0644</v>
      </c>
      <c r="F18" s="20">
        <f t="shared" si="1"/>
        <v>39.90674799999999</v>
      </c>
      <c r="G18" s="20">
        <f t="shared" si="2"/>
        <v>8.964959443099271</v>
      </c>
      <c r="H18" s="20">
        <v>0</v>
      </c>
      <c r="I18" s="65">
        <f t="shared" si="3"/>
        <v>48.87170744309927</v>
      </c>
      <c r="J18" s="62">
        <v>991.2</v>
      </c>
      <c r="K18" s="2">
        <f t="shared" si="4"/>
        <v>48441.6364176</v>
      </c>
      <c r="L18" s="2">
        <f t="shared" si="5"/>
        <v>619.67</v>
      </c>
      <c r="M18" s="20">
        <f t="shared" si="6"/>
        <v>78.17328</v>
      </c>
      <c r="N18" s="60">
        <v>189.21</v>
      </c>
      <c r="O18" s="20">
        <f t="shared" si="7"/>
        <v>198.17495944309928</v>
      </c>
      <c r="P18" s="65">
        <f t="shared" si="8"/>
        <v>149.30325200000001</v>
      </c>
      <c r="Q18" s="58">
        <v>4183.8</v>
      </c>
      <c r="R18" s="1">
        <f t="shared" si="9"/>
        <v>147989.38338240003</v>
      </c>
      <c r="S18" s="4">
        <f t="shared" si="10"/>
        <v>35.37200233816149</v>
      </c>
    </row>
    <row r="19" spans="1:19" ht="12.75">
      <c r="A19" s="61" t="s">
        <v>14</v>
      </c>
      <c r="B19" s="59">
        <v>229.13</v>
      </c>
      <c r="C19" s="59">
        <v>0</v>
      </c>
      <c r="D19" s="2">
        <f t="shared" si="0"/>
        <v>229.13</v>
      </c>
      <c r="E19" s="67">
        <v>0.0662</v>
      </c>
      <c r="F19" s="20">
        <f t="shared" si="1"/>
        <v>15.168406</v>
      </c>
      <c r="G19" s="20">
        <f t="shared" si="2"/>
        <v>3.314895278450363</v>
      </c>
      <c r="H19" s="20">
        <v>0</v>
      </c>
      <c r="I19" s="65">
        <f t="shared" si="3"/>
        <v>18.483301278450362</v>
      </c>
      <c r="J19" s="62">
        <v>991.2</v>
      </c>
      <c r="K19" s="2">
        <f t="shared" si="4"/>
        <v>18320.6482272</v>
      </c>
      <c r="L19" s="2">
        <f t="shared" si="5"/>
        <v>229.13</v>
      </c>
      <c r="M19" s="20">
        <f t="shared" si="6"/>
        <v>79.95744</v>
      </c>
      <c r="N19" s="60">
        <v>128.51</v>
      </c>
      <c r="O19" s="20">
        <f t="shared" si="7"/>
        <v>131.82489527845036</v>
      </c>
      <c r="P19" s="65">
        <f t="shared" si="8"/>
        <v>113.34159399999999</v>
      </c>
      <c r="Q19" s="58">
        <v>3908.1</v>
      </c>
      <c r="R19" s="1">
        <f t="shared" si="9"/>
        <v>112344.18797279999</v>
      </c>
      <c r="S19" s="4">
        <f t="shared" si="10"/>
        <v>28.746497779688337</v>
      </c>
    </row>
    <row r="20" spans="1:19" ht="12.75">
      <c r="A20" s="61" t="s">
        <v>15</v>
      </c>
      <c r="B20" s="59">
        <v>353.5</v>
      </c>
      <c r="C20" s="59">
        <v>0</v>
      </c>
      <c r="D20" s="2">
        <f t="shared" si="0"/>
        <v>353.5</v>
      </c>
      <c r="E20" s="67">
        <v>0.07</v>
      </c>
      <c r="F20" s="20">
        <f t="shared" si="1"/>
        <v>24.745</v>
      </c>
      <c r="G20" s="20">
        <f t="shared" si="2"/>
        <v>5.114194915254236</v>
      </c>
      <c r="H20" s="20">
        <v>0</v>
      </c>
      <c r="I20" s="65">
        <f t="shared" si="3"/>
        <v>29.859194915254236</v>
      </c>
      <c r="J20" s="62">
        <v>991.2</v>
      </c>
      <c r="K20" s="2">
        <f t="shared" si="4"/>
        <v>29596.434</v>
      </c>
      <c r="L20" s="2">
        <f t="shared" si="5"/>
        <v>353.5</v>
      </c>
      <c r="M20" s="20">
        <f t="shared" si="6"/>
        <v>83.724</v>
      </c>
      <c r="N20" s="60">
        <v>234.63</v>
      </c>
      <c r="O20" s="20">
        <f t="shared" si="7"/>
        <v>239.74419491525424</v>
      </c>
      <c r="P20" s="65">
        <f t="shared" si="8"/>
        <v>209.885</v>
      </c>
      <c r="Q20" s="58">
        <v>5485.5</v>
      </c>
      <c r="R20" s="1">
        <f t="shared" si="9"/>
        <v>208038.012</v>
      </c>
      <c r="S20" s="4">
        <f t="shared" si="10"/>
        <v>37.92507738583538</v>
      </c>
    </row>
    <row r="21" spans="1:19" ht="12.75">
      <c r="A21" s="61" t="s">
        <v>16</v>
      </c>
      <c r="B21" s="59">
        <v>461.83</v>
      </c>
      <c r="C21" s="59">
        <v>0</v>
      </c>
      <c r="D21" s="2">
        <f t="shared" si="0"/>
        <v>461.83</v>
      </c>
      <c r="E21" s="67">
        <v>0.0654</v>
      </c>
      <c r="F21" s="20">
        <f t="shared" si="1"/>
        <v>30.203682</v>
      </c>
      <c r="G21" s="20">
        <f t="shared" si="2"/>
        <v>6.681438861985471</v>
      </c>
      <c r="H21" s="20">
        <v>0</v>
      </c>
      <c r="I21" s="65">
        <f t="shared" si="3"/>
        <v>36.88512086198547</v>
      </c>
      <c r="J21" s="62">
        <v>991.2</v>
      </c>
      <c r="K21" s="2">
        <f t="shared" si="4"/>
        <v>36560.5317984</v>
      </c>
      <c r="L21" s="2">
        <f t="shared" si="5"/>
        <v>461.83</v>
      </c>
      <c r="M21" s="20">
        <f t="shared" si="6"/>
        <v>79.16448</v>
      </c>
      <c r="N21" s="60">
        <v>157.3</v>
      </c>
      <c r="O21" s="20">
        <f t="shared" si="7"/>
        <v>163.98143886198548</v>
      </c>
      <c r="P21" s="65">
        <f t="shared" si="8"/>
        <v>127.09631800000001</v>
      </c>
      <c r="Q21" s="58">
        <v>4673.4</v>
      </c>
      <c r="R21" s="1">
        <f t="shared" si="9"/>
        <v>125977.87040160001</v>
      </c>
      <c r="S21" s="4">
        <f t="shared" si="10"/>
        <v>26.9563637612017</v>
      </c>
    </row>
    <row r="22" spans="1:19" ht="12.75">
      <c r="A22" s="61" t="s">
        <v>42</v>
      </c>
      <c r="B22" s="59">
        <v>0</v>
      </c>
      <c r="C22" s="59">
        <v>416</v>
      </c>
      <c r="D22" s="2">
        <f t="shared" si="0"/>
        <v>416</v>
      </c>
      <c r="E22" s="67">
        <v>0.0658</v>
      </c>
      <c r="F22" s="20">
        <f t="shared" si="1"/>
        <v>27.372799999999998</v>
      </c>
      <c r="G22" s="20">
        <f t="shared" si="2"/>
        <v>0</v>
      </c>
      <c r="H22" s="20">
        <f>C22*13.47/991.2</f>
        <v>5.653268765133172</v>
      </c>
      <c r="I22" s="65">
        <f t="shared" si="3"/>
        <v>33.02606876513317</v>
      </c>
      <c r="J22" s="62">
        <v>991.2</v>
      </c>
      <c r="K22" s="2">
        <f t="shared" si="4"/>
        <v>32735.439359999997</v>
      </c>
      <c r="L22" s="2">
        <f t="shared" si="5"/>
        <v>416</v>
      </c>
      <c r="M22" s="20">
        <f t="shared" si="6"/>
        <v>78.69095999999999</v>
      </c>
      <c r="N22" s="60">
        <v>156.41</v>
      </c>
      <c r="O22" s="20">
        <f t="shared" si="7"/>
        <v>162.06326876513316</v>
      </c>
      <c r="P22" s="65">
        <f t="shared" si="8"/>
        <v>129.03719999999998</v>
      </c>
      <c r="Q22" s="58">
        <v>6616.4</v>
      </c>
      <c r="R22" s="1">
        <f t="shared" si="9"/>
        <v>127901.67263999999</v>
      </c>
      <c r="S22" s="4">
        <f t="shared" si="10"/>
        <v>19.331006686415574</v>
      </c>
    </row>
    <row r="23" spans="1:19" ht="12.75">
      <c r="A23" s="61" t="s">
        <v>49</v>
      </c>
      <c r="B23" s="59">
        <v>365.57</v>
      </c>
      <c r="C23" s="59">
        <v>0</v>
      </c>
      <c r="D23" s="2">
        <f t="shared" si="0"/>
        <v>365.57</v>
      </c>
      <c r="E23" s="67">
        <v>0.0674</v>
      </c>
      <c r="F23" s="20">
        <f t="shared" si="1"/>
        <v>24.639418</v>
      </c>
      <c r="G23" s="20">
        <f t="shared" si="2"/>
        <v>5.288815375302663</v>
      </c>
      <c r="H23" s="20">
        <v>0</v>
      </c>
      <c r="I23" s="65">
        <f t="shared" si="3"/>
        <v>29.92823337530266</v>
      </c>
      <c r="J23" s="62">
        <v>991.2</v>
      </c>
      <c r="K23" s="2">
        <f t="shared" si="4"/>
        <v>29664.864921599998</v>
      </c>
      <c r="L23" s="2">
        <f t="shared" si="5"/>
        <v>365.57</v>
      </c>
      <c r="M23" s="20">
        <f t="shared" si="6"/>
        <v>81.14688</v>
      </c>
      <c r="N23" s="60">
        <v>36.06</v>
      </c>
      <c r="O23" s="20">
        <f t="shared" si="7"/>
        <v>41.348815375302664</v>
      </c>
      <c r="P23" s="65">
        <f t="shared" si="8"/>
        <v>11.420582000000003</v>
      </c>
      <c r="Q23" s="58">
        <v>663.9</v>
      </c>
      <c r="R23" s="1">
        <f t="shared" si="9"/>
        <v>11320.080878400004</v>
      </c>
      <c r="S23" s="4">
        <f t="shared" si="10"/>
        <v>17.050882479891555</v>
      </c>
    </row>
    <row r="24" spans="1:19" ht="12.75">
      <c r="A24" s="61" t="s">
        <v>97</v>
      </c>
      <c r="B24" s="59">
        <v>63.057</v>
      </c>
      <c r="C24" s="59">
        <v>54</v>
      </c>
      <c r="D24" s="2">
        <f t="shared" si="0"/>
        <v>117.057</v>
      </c>
      <c r="E24" s="67">
        <v>0.067</v>
      </c>
      <c r="F24" s="20">
        <f t="shared" si="1"/>
        <v>7.842819</v>
      </c>
      <c r="G24" s="20">
        <f t="shared" si="2"/>
        <v>0.9122653147699757</v>
      </c>
      <c r="H24" s="20">
        <f>C24*13.47/991.2</f>
        <v>0.7338377723970944</v>
      </c>
      <c r="I24" s="66">
        <f t="shared" si="3"/>
        <v>9.48892208716707</v>
      </c>
      <c r="J24" s="62">
        <v>991.2</v>
      </c>
      <c r="K24" s="2">
        <f t="shared" si="4"/>
        <v>9405.419572800001</v>
      </c>
      <c r="L24" s="2">
        <f t="shared" si="5"/>
        <v>117.057</v>
      </c>
      <c r="M24" s="20">
        <f t="shared" si="6"/>
        <v>80.34905706450705</v>
      </c>
      <c r="N24" s="60">
        <v>74.29</v>
      </c>
      <c r="O24" s="20">
        <f t="shared" si="7"/>
        <v>75.93610308716708</v>
      </c>
      <c r="P24" s="65">
        <f t="shared" si="8"/>
        <v>66.44718100000001</v>
      </c>
      <c r="Q24" s="58">
        <v>2905.2</v>
      </c>
      <c r="R24" s="1">
        <f t="shared" si="9"/>
        <v>65862.44580720001</v>
      </c>
      <c r="S24" s="4">
        <f t="shared" si="10"/>
        <v>22.670537590251968</v>
      </c>
    </row>
    <row r="25" spans="1:19" ht="12.75">
      <c r="A25" s="2" t="s">
        <v>17</v>
      </c>
      <c r="B25" s="59">
        <f>SUM(B5:B24)</f>
        <v>6181.875999999999</v>
      </c>
      <c r="C25" s="59">
        <f>SUM(C5:C24)</f>
        <v>2051</v>
      </c>
      <c r="D25" s="2">
        <f>SUM(D5:D24)</f>
        <v>8232.876</v>
      </c>
      <c r="E25" s="59"/>
      <c r="F25" s="20">
        <f>SUM(F5:F24)</f>
        <v>531.5609825999999</v>
      </c>
      <c r="G25" s="20">
        <f>SUM(G5:G24)</f>
        <v>89.43513099273606</v>
      </c>
      <c r="H25" s="20">
        <f>SUM(H5:H24)</f>
        <v>27.872245762711863</v>
      </c>
      <c r="I25" s="65">
        <f>SUM(I5:I24)</f>
        <v>648.8683593554479</v>
      </c>
      <c r="J25" s="2">
        <v>991.2</v>
      </c>
      <c r="K25" s="2">
        <f>SUM(K5:K23)</f>
        <v>633752.8982203199</v>
      </c>
      <c r="L25" s="2">
        <f>SUM(L5:L24)</f>
        <v>8232.876</v>
      </c>
      <c r="M25" s="20"/>
      <c r="N25" s="60">
        <f>SUM(N5:N24)</f>
        <v>3582.1</v>
      </c>
      <c r="O25" s="20">
        <f>SUM(SUM(O5:O24))</f>
        <v>3699.407376755449</v>
      </c>
      <c r="P25" s="65">
        <f>SUM(P5:P24)</f>
        <v>3050.5390173999995</v>
      </c>
      <c r="Q25" s="57">
        <f>Q5+Q6+Q7+Q8+Q9+Q10+Q11+Q12+Q13+Q14+Q15+Q16+Q17+Q18+Q19+Q20+Q21+Q22</f>
        <v>105007.7</v>
      </c>
      <c r="R25" s="1">
        <f t="shared" si="9"/>
        <v>3023694.2740468797</v>
      </c>
      <c r="S25" s="4"/>
    </row>
    <row r="26" spans="4:14" ht="12.75">
      <c r="D26" s="14"/>
      <c r="E26" s="14"/>
      <c r="F26" s="14"/>
      <c r="G26" s="14"/>
      <c r="H26" s="251"/>
      <c r="I26" s="251"/>
      <c r="J26" s="251"/>
      <c r="K26" s="14"/>
      <c r="L26" s="14"/>
      <c r="M26" s="56"/>
      <c r="N26" s="56"/>
    </row>
    <row r="27" ht="12.75">
      <c r="P27" t="s">
        <v>46</v>
      </c>
    </row>
    <row r="28" spans="2:15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0"/>
    </row>
    <row r="33" spans="1:12" ht="12.75">
      <c r="A33" s="5" t="s">
        <v>41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7" ht="12.75">
      <c r="A35" t="s">
        <v>39</v>
      </c>
      <c r="G35" s="5"/>
    </row>
  </sheetData>
  <sheetProtection/>
  <mergeCells count="20">
    <mergeCell ref="H26:J26"/>
    <mergeCell ref="O3:O4"/>
    <mergeCell ref="M3:M4"/>
    <mergeCell ref="N3:N4"/>
    <mergeCell ref="K3:K4"/>
    <mergeCell ref="L3:L4"/>
    <mergeCell ref="J3:J4"/>
    <mergeCell ref="I3:I4"/>
    <mergeCell ref="P3:P4"/>
    <mergeCell ref="Q3:Q4"/>
    <mergeCell ref="R3:R4"/>
    <mergeCell ref="S3:S4"/>
    <mergeCell ref="A3:A4"/>
    <mergeCell ref="F3:F4"/>
    <mergeCell ref="G3:G4"/>
    <mergeCell ref="H3:H4"/>
    <mergeCell ref="B3:B4"/>
    <mergeCell ref="C3:C4"/>
    <mergeCell ref="D3:D4"/>
    <mergeCell ref="E3:E4"/>
  </mergeCells>
  <printOptions/>
  <pageMargins left="0.3937007874015748" right="0.3937007874015748" top="0.3937007874015748" bottom="0.3937007874015748" header="0.31496062992125984" footer="0.1181102362204724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R13" sqref="R13"/>
    </sheetView>
  </sheetViews>
  <sheetFormatPr defaultColWidth="9.00390625" defaultRowHeight="12.75"/>
  <cols>
    <col min="1" max="1" width="17.625" style="0" customWidth="1"/>
    <col min="2" max="2" width="6.75390625" style="0" customWidth="1"/>
    <col min="3" max="3" width="5.00390625" style="0" bestFit="1" customWidth="1"/>
    <col min="4" max="4" width="8.125" style="0" customWidth="1"/>
    <col min="5" max="5" width="6.75390625" style="0" customWidth="1"/>
    <col min="6" max="6" width="7.00390625" style="0" customWidth="1"/>
    <col min="7" max="7" width="6.75390625" style="0" customWidth="1"/>
    <col min="8" max="8" width="6.00390625" style="0" customWidth="1"/>
    <col min="9" max="9" width="8.75390625" style="0" bestFit="1" customWidth="1"/>
    <col min="10" max="10" width="6.125" style="0" customWidth="1"/>
    <col min="11" max="11" width="8.125" style="0" customWidth="1"/>
    <col min="12" max="12" width="7.625" style="0" customWidth="1"/>
    <col min="13" max="14" width="7.125" style="0" customWidth="1"/>
    <col min="15" max="15" width="7.75390625" style="0" customWidth="1"/>
    <col min="16" max="16" width="7.25390625" style="0" customWidth="1"/>
    <col min="17" max="17" width="8.125" style="0" customWidth="1"/>
    <col min="19" max="19" width="7.375" style="3" customWidth="1"/>
  </cols>
  <sheetData>
    <row r="1" spans="1:19" ht="55.5" customHeight="1">
      <c r="A1" s="63" t="s">
        <v>118</v>
      </c>
      <c r="B1" s="63"/>
      <c r="C1" s="63"/>
      <c r="D1" s="63"/>
      <c r="E1" s="63"/>
      <c r="F1" s="64"/>
      <c r="G1" s="16"/>
      <c r="H1" s="15" t="s">
        <v>121</v>
      </c>
      <c r="I1" s="15">
        <v>2014</v>
      </c>
      <c r="J1" s="16"/>
      <c r="K1" s="16"/>
      <c r="L1" s="16" t="s">
        <v>120</v>
      </c>
      <c r="M1" s="16"/>
      <c r="N1" s="16"/>
      <c r="O1" s="16"/>
      <c r="P1" s="16"/>
      <c r="Q1" s="16" t="s">
        <v>119</v>
      </c>
      <c r="R1" s="16"/>
      <c r="S1" s="16"/>
    </row>
    <row r="2" spans="1:1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5"/>
      <c r="N2" s="55"/>
      <c r="O2" s="17" t="s">
        <v>77</v>
      </c>
    </row>
    <row r="3" spans="1:19" ht="25.5" customHeight="1">
      <c r="A3" s="252" t="s">
        <v>116</v>
      </c>
      <c r="B3" s="254" t="s">
        <v>102</v>
      </c>
      <c r="C3" s="254" t="s">
        <v>103</v>
      </c>
      <c r="D3" s="252" t="s">
        <v>104</v>
      </c>
      <c r="E3" s="254" t="s">
        <v>100</v>
      </c>
      <c r="F3" s="252" t="s">
        <v>105</v>
      </c>
      <c r="G3" s="252" t="s">
        <v>106</v>
      </c>
      <c r="H3" s="252" t="s">
        <v>107</v>
      </c>
      <c r="I3" s="258" t="s">
        <v>108</v>
      </c>
      <c r="J3" s="256" t="s">
        <v>109</v>
      </c>
      <c r="K3" s="252" t="s">
        <v>110</v>
      </c>
      <c r="L3" s="252" t="s">
        <v>111</v>
      </c>
      <c r="M3" s="252" t="s">
        <v>112</v>
      </c>
      <c r="N3" s="254" t="s">
        <v>101</v>
      </c>
      <c r="O3" s="252" t="s">
        <v>99</v>
      </c>
      <c r="P3" s="260" t="s">
        <v>113</v>
      </c>
      <c r="Q3" s="256" t="s">
        <v>114</v>
      </c>
      <c r="R3" s="262" t="s">
        <v>115</v>
      </c>
      <c r="S3" s="264" t="s">
        <v>117</v>
      </c>
    </row>
    <row r="4" spans="1:19" ht="31.5" customHeight="1">
      <c r="A4" s="253"/>
      <c r="B4" s="255"/>
      <c r="C4" s="255"/>
      <c r="D4" s="253"/>
      <c r="E4" s="255"/>
      <c r="F4" s="253"/>
      <c r="G4" s="253"/>
      <c r="H4" s="253"/>
      <c r="I4" s="259"/>
      <c r="J4" s="257"/>
      <c r="K4" s="253"/>
      <c r="L4" s="253"/>
      <c r="M4" s="253"/>
      <c r="N4" s="255"/>
      <c r="O4" s="253"/>
      <c r="P4" s="261"/>
      <c r="Q4" s="257"/>
      <c r="R4" s="263"/>
      <c r="S4" s="265"/>
    </row>
    <row r="5" spans="1:19" ht="12.75">
      <c r="A5" s="61" t="s">
        <v>0</v>
      </c>
      <c r="B5" s="59">
        <v>436.048</v>
      </c>
      <c r="C5" s="59"/>
      <c r="D5" s="2">
        <f aca="true" t="shared" si="0" ref="D5:D24">B5+C5</f>
        <v>436.048</v>
      </c>
      <c r="E5" s="59">
        <v>0.0609</v>
      </c>
      <c r="F5" s="20">
        <f>D5*E5</f>
        <v>26.5553232</v>
      </c>
      <c r="G5" s="20">
        <f aca="true" t="shared" si="1" ref="G5:G10">B5*14.34/991.2</f>
        <v>6.3084426150121065</v>
      </c>
      <c r="H5" s="20">
        <f>C5*13.47/991.2</f>
        <v>0</v>
      </c>
      <c r="I5" s="65">
        <f aca="true" t="shared" si="2" ref="I5:I23">F5+G5+H5</f>
        <v>32.86376581501211</v>
      </c>
      <c r="J5" s="62">
        <v>991.2</v>
      </c>
      <c r="K5" s="2">
        <f>I5*J5</f>
        <v>32574.564675840003</v>
      </c>
      <c r="L5" s="20">
        <f>D5</f>
        <v>436.048</v>
      </c>
      <c r="M5" s="20">
        <f>K5/L5</f>
        <v>74.70408</v>
      </c>
      <c r="N5" s="60">
        <v>206.6</v>
      </c>
      <c r="O5" s="20">
        <f>G5+H5+N5</f>
        <v>212.9084426150121</v>
      </c>
      <c r="P5" s="65">
        <f>O5-I5</f>
        <v>180.0446768</v>
      </c>
      <c r="Q5" s="58">
        <v>9290.5</v>
      </c>
      <c r="R5" s="1">
        <f>P5*J5</f>
        <v>178460.28364416</v>
      </c>
      <c r="S5" s="4">
        <f>R5/Q5</f>
        <v>19.2088998056251</v>
      </c>
    </row>
    <row r="6" spans="1:19" ht="12.75">
      <c r="A6" s="61" t="s">
        <v>1</v>
      </c>
      <c r="B6" s="59">
        <v>14.503</v>
      </c>
      <c r="C6" s="59">
        <v>884</v>
      </c>
      <c r="D6" s="2">
        <f t="shared" si="0"/>
        <v>898.503</v>
      </c>
      <c r="E6" s="59">
        <v>0.0602</v>
      </c>
      <c r="F6" s="20">
        <f>D6*E6</f>
        <v>54.0898806</v>
      </c>
      <c r="G6" s="20">
        <f t="shared" si="1"/>
        <v>0.20981943099273606</v>
      </c>
      <c r="H6" s="20">
        <f>C6*13.47/991.2</f>
        <v>12.01319612590799</v>
      </c>
      <c r="I6" s="65">
        <f t="shared" si="2"/>
        <v>66.31289615690073</v>
      </c>
      <c r="J6" s="62">
        <v>991.2</v>
      </c>
      <c r="K6" s="2">
        <f aca="true" t="shared" si="3" ref="K6:K24">I6*J6</f>
        <v>65729.34267072001</v>
      </c>
      <c r="L6" s="2">
        <f aca="true" t="shared" si="4" ref="L6:L11">D6</f>
        <v>898.503</v>
      </c>
      <c r="M6" s="20">
        <f aca="true" t="shared" si="5" ref="M6:M25">K6/L6</f>
        <v>73.15428292473148</v>
      </c>
      <c r="N6" s="60">
        <v>265.53</v>
      </c>
      <c r="O6" s="20">
        <f>G6+H6+N6</f>
        <v>277.7530155569007</v>
      </c>
      <c r="P6" s="65">
        <f>O6-I6</f>
        <v>211.4401194</v>
      </c>
      <c r="Q6" s="58">
        <v>9725.3</v>
      </c>
      <c r="R6" s="1">
        <f aca="true" t="shared" si="6" ref="R6:R25">P6*J6</f>
        <v>209579.44634927998</v>
      </c>
      <c r="S6" s="4">
        <f aca="true" t="shared" si="7" ref="S6:S25">R6/Q6</f>
        <v>21.549920963803686</v>
      </c>
    </row>
    <row r="7" spans="1:19" ht="12.75">
      <c r="A7" s="61" t="s">
        <v>2</v>
      </c>
      <c r="B7" s="59">
        <v>49.362</v>
      </c>
      <c r="C7" s="59">
        <v>525</v>
      </c>
      <c r="D7" s="2">
        <f t="shared" si="0"/>
        <v>574.362</v>
      </c>
      <c r="E7" s="59">
        <v>0.06</v>
      </c>
      <c r="F7" s="20">
        <f aca="true" t="shared" si="8" ref="F7:F24">D7*E7</f>
        <v>34.46172</v>
      </c>
      <c r="G7" s="20">
        <f t="shared" si="1"/>
        <v>0.7141354721549636</v>
      </c>
      <c r="H7" s="20">
        <f>C7*13.47/991.2</f>
        <v>7.134533898305085</v>
      </c>
      <c r="I7" s="65">
        <f t="shared" si="2"/>
        <v>42.31038937046005</v>
      </c>
      <c r="J7" s="62">
        <v>991.2</v>
      </c>
      <c r="K7" s="2">
        <f>I7*J7</f>
        <v>41938.05794400001</v>
      </c>
      <c r="L7" s="2">
        <f t="shared" si="4"/>
        <v>574.362</v>
      </c>
      <c r="M7" s="20">
        <f>K7/L7</f>
        <v>73.01676981415903</v>
      </c>
      <c r="N7" s="60">
        <v>176.39</v>
      </c>
      <c r="O7" s="20">
        <f aca="true" t="shared" si="9" ref="O7:O21">G7+H7+N7</f>
        <v>184.23866937046003</v>
      </c>
      <c r="P7" s="65">
        <f>O7-I7</f>
        <v>141.92827999999997</v>
      </c>
      <c r="Q7" s="58">
        <v>6610</v>
      </c>
      <c r="R7" s="1">
        <f t="shared" si="6"/>
        <v>140679.31113599997</v>
      </c>
      <c r="S7" s="4">
        <f t="shared" si="7"/>
        <v>21.282800474432673</v>
      </c>
    </row>
    <row r="8" spans="1:19" ht="12.75">
      <c r="A8" s="61" t="s">
        <v>3</v>
      </c>
      <c r="B8" s="59">
        <v>592.964</v>
      </c>
      <c r="C8" s="59">
        <v>0</v>
      </c>
      <c r="D8" s="2">
        <f t="shared" si="0"/>
        <v>592.964</v>
      </c>
      <c r="E8" s="59">
        <v>0.0621</v>
      </c>
      <c r="F8" s="20">
        <f t="shared" si="8"/>
        <v>36.82306440000001</v>
      </c>
      <c r="G8" s="20">
        <f t="shared" si="1"/>
        <v>8.578595399515738</v>
      </c>
      <c r="H8" s="20">
        <v>0</v>
      </c>
      <c r="I8" s="65">
        <f t="shared" si="2"/>
        <v>45.40165979951574</v>
      </c>
      <c r="J8" s="62">
        <v>991.2</v>
      </c>
      <c r="K8" s="2">
        <f t="shared" si="3"/>
        <v>45002.12519328001</v>
      </c>
      <c r="L8" s="2">
        <f t="shared" si="4"/>
        <v>592.964</v>
      </c>
      <c r="M8" s="20">
        <f t="shared" si="5"/>
        <v>75.89352000000001</v>
      </c>
      <c r="N8" s="60">
        <v>193.751</v>
      </c>
      <c r="O8" s="20">
        <f t="shared" si="9"/>
        <v>202.32959539951574</v>
      </c>
      <c r="P8" s="65">
        <f>O8-I8</f>
        <v>156.9279356</v>
      </c>
      <c r="Q8" s="58">
        <v>6343.9</v>
      </c>
      <c r="R8" s="1">
        <f t="shared" si="6"/>
        <v>155546.96976672002</v>
      </c>
      <c r="S8" s="4">
        <f t="shared" si="7"/>
        <v>24.519139609186784</v>
      </c>
    </row>
    <row r="9" spans="1:19" ht="12.75">
      <c r="A9" s="61" t="s">
        <v>4</v>
      </c>
      <c r="B9" s="59">
        <v>454.36</v>
      </c>
      <c r="C9" s="59">
        <v>0</v>
      </c>
      <c r="D9" s="2">
        <f t="shared" si="0"/>
        <v>454.36</v>
      </c>
      <c r="E9" s="59">
        <v>0.0617</v>
      </c>
      <c r="F9" s="20">
        <f t="shared" si="8"/>
        <v>28.034012</v>
      </c>
      <c r="G9" s="20">
        <f t="shared" si="1"/>
        <v>6.573368038740919</v>
      </c>
      <c r="H9" s="20">
        <v>0</v>
      </c>
      <c r="I9" s="65">
        <f>F9+G9+H9</f>
        <v>34.60738003874092</v>
      </c>
      <c r="J9" s="62">
        <v>991.2</v>
      </c>
      <c r="K9" s="2">
        <f t="shared" si="3"/>
        <v>34302.835094400005</v>
      </c>
      <c r="L9" s="2">
        <f t="shared" si="4"/>
        <v>454.36</v>
      </c>
      <c r="M9" s="20">
        <f t="shared" si="5"/>
        <v>75.49704000000001</v>
      </c>
      <c r="N9" s="60">
        <v>150.417</v>
      </c>
      <c r="O9" s="20">
        <f t="shared" si="9"/>
        <v>156.9903680387409</v>
      </c>
      <c r="P9" s="65">
        <f aca="true" t="shared" si="10" ref="P9:P23">O9-I9</f>
        <v>122.38298799999998</v>
      </c>
      <c r="Q9" s="58">
        <v>5989.7</v>
      </c>
      <c r="R9" s="1">
        <f t="shared" si="6"/>
        <v>121306.0177056</v>
      </c>
      <c r="S9" s="4">
        <f t="shared" si="7"/>
        <v>20.252436299914855</v>
      </c>
    </row>
    <row r="10" spans="1:19" ht="12.75">
      <c r="A10" s="61" t="s">
        <v>5</v>
      </c>
      <c r="B10" s="59">
        <v>529.804</v>
      </c>
      <c r="C10" s="59">
        <v>0</v>
      </c>
      <c r="D10" s="2">
        <f t="shared" si="0"/>
        <v>529.804</v>
      </c>
      <c r="E10" s="59">
        <v>0.061</v>
      </c>
      <c r="F10" s="20">
        <f t="shared" si="8"/>
        <v>32.318044</v>
      </c>
      <c r="G10" s="20">
        <f t="shared" si="1"/>
        <v>7.664839951573849</v>
      </c>
      <c r="H10" s="20">
        <v>0</v>
      </c>
      <c r="I10" s="65">
        <f t="shared" si="2"/>
        <v>39.98288395157385</v>
      </c>
      <c r="J10" s="62">
        <v>991.2</v>
      </c>
      <c r="K10" s="2">
        <f t="shared" si="3"/>
        <v>39631.034572799996</v>
      </c>
      <c r="L10" s="2">
        <f t="shared" si="4"/>
        <v>529.804</v>
      </c>
      <c r="M10" s="20">
        <f t="shared" si="5"/>
        <v>74.80319999999999</v>
      </c>
      <c r="N10" s="60">
        <v>164.142</v>
      </c>
      <c r="O10" s="20">
        <f t="shared" si="9"/>
        <v>171.80683995157383</v>
      </c>
      <c r="P10" s="65">
        <f t="shared" si="10"/>
        <v>131.82395599999998</v>
      </c>
      <c r="Q10" s="58">
        <v>5514.4</v>
      </c>
      <c r="R10" s="1">
        <f t="shared" si="6"/>
        <v>130663.90518719998</v>
      </c>
      <c r="S10" s="4">
        <f t="shared" si="7"/>
        <v>23.695035758595676</v>
      </c>
    </row>
    <row r="11" spans="1:19" ht="12.75">
      <c r="A11" s="61" t="s">
        <v>6</v>
      </c>
      <c r="B11" s="59">
        <v>18.95</v>
      </c>
      <c r="C11" s="59">
        <v>261</v>
      </c>
      <c r="D11" s="2">
        <f t="shared" si="0"/>
        <v>279.95</v>
      </c>
      <c r="E11" s="59">
        <v>0.061</v>
      </c>
      <c r="F11" s="20">
        <f t="shared" si="8"/>
        <v>17.07695</v>
      </c>
      <c r="G11" s="20">
        <f aca="true" t="shared" si="11" ref="G11:G24">B11*14.34/991.2</f>
        <v>0.2741555690072639</v>
      </c>
      <c r="H11" s="20">
        <f>C11*13.47/991.2</f>
        <v>3.5468825665859565</v>
      </c>
      <c r="I11" s="65">
        <f t="shared" si="2"/>
        <v>20.89798813559322</v>
      </c>
      <c r="J11" s="62">
        <v>991.2</v>
      </c>
      <c r="K11" s="2">
        <f t="shared" si="3"/>
        <v>20714.08584</v>
      </c>
      <c r="L11" s="2">
        <f t="shared" si="4"/>
        <v>279.95</v>
      </c>
      <c r="M11" s="20">
        <f t="shared" si="5"/>
        <v>73.99209087337024</v>
      </c>
      <c r="N11" s="60">
        <v>163.945</v>
      </c>
      <c r="O11" s="20">
        <f t="shared" si="9"/>
        <v>167.76603813559322</v>
      </c>
      <c r="P11" s="65">
        <f t="shared" si="10"/>
        <v>146.86805</v>
      </c>
      <c r="Q11" s="58">
        <v>7253</v>
      </c>
      <c r="R11" s="1">
        <f t="shared" si="6"/>
        <v>145575.61116000003</v>
      </c>
      <c r="S11" s="4">
        <f t="shared" si="7"/>
        <v>20.07108936440094</v>
      </c>
    </row>
    <row r="12" spans="1:19" ht="12.75">
      <c r="A12" s="61" t="s">
        <v>7</v>
      </c>
      <c r="B12" s="59">
        <v>1.529</v>
      </c>
      <c r="C12" s="59">
        <v>0</v>
      </c>
      <c r="D12" s="2">
        <f t="shared" si="0"/>
        <v>1.529</v>
      </c>
      <c r="E12" s="59">
        <v>0.0616</v>
      </c>
      <c r="F12" s="20">
        <f t="shared" si="8"/>
        <v>0.0941864</v>
      </c>
      <c r="G12" s="20">
        <f t="shared" si="11"/>
        <v>0.0221205205811138</v>
      </c>
      <c r="H12" s="20">
        <v>0</v>
      </c>
      <c r="I12" s="65">
        <f t="shared" si="2"/>
        <v>0.1163069205811138</v>
      </c>
      <c r="J12" s="62">
        <v>991.2</v>
      </c>
      <c r="K12" s="2">
        <f t="shared" si="3"/>
        <v>115.28341968000001</v>
      </c>
      <c r="L12" s="2">
        <f>D12</f>
        <v>1.529</v>
      </c>
      <c r="M12" s="20">
        <f>K12/L12</f>
        <v>75.39792000000001</v>
      </c>
      <c r="N12" s="60">
        <v>18.902</v>
      </c>
      <c r="O12" s="20">
        <f t="shared" si="9"/>
        <v>18.924120520581116</v>
      </c>
      <c r="P12" s="65">
        <f t="shared" si="10"/>
        <v>18.807813600000003</v>
      </c>
      <c r="Q12" s="58">
        <v>760.9</v>
      </c>
      <c r="R12" s="1">
        <f>P12*1590.78</f>
        <v>29919.093718608005</v>
      </c>
      <c r="S12" s="4">
        <f t="shared" si="7"/>
        <v>39.320664632156664</v>
      </c>
    </row>
    <row r="13" spans="1:19" ht="12.75">
      <c r="A13" s="61" t="s">
        <v>8</v>
      </c>
      <c r="B13" s="59">
        <v>321.449</v>
      </c>
      <c r="C13" s="59">
        <v>0</v>
      </c>
      <c r="D13" s="2">
        <f t="shared" si="0"/>
        <v>321.449</v>
      </c>
      <c r="E13" s="59">
        <v>0.0592</v>
      </c>
      <c r="F13" s="20">
        <f t="shared" si="8"/>
        <v>19.0297808</v>
      </c>
      <c r="G13" s="20">
        <f t="shared" si="11"/>
        <v>4.6505030871670705</v>
      </c>
      <c r="H13" s="20">
        <v>0</v>
      </c>
      <c r="I13" s="65">
        <f t="shared" si="2"/>
        <v>23.68028388716707</v>
      </c>
      <c r="J13" s="62">
        <v>991.2</v>
      </c>
      <c r="K13" s="2">
        <f t="shared" si="3"/>
        <v>23471.897388960002</v>
      </c>
      <c r="L13" s="2">
        <f aca="true" t="shared" si="12" ref="L13:L21">D13</f>
        <v>321.449</v>
      </c>
      <c r="M13" s="20">
        <f t="shared" si="5"/>
        <v>73.01904</v>
      </c>
      <c r="N13" s="60">
        <v>104.434</v>
      </c>
      <c r="O13" s="20">
        <f t="shared" si="9"/>
        <v>109.08450308716706</v>
      </c>
      <c r="P13" s="65">
        <f t="shared" si="10"/>
        <v>85.4042192</v>
      </c>
      <c r="Q13" s="58">
        <v>3718.8</v>
      </c>
      <c r="R13" s="1">
        <f t="shared" si="6"/>
        <v>84652.66207104</v>
      </c>
      <c r="S13" s="4">
        <f t="shared" si="7"/>
        <v>22.763434998128428</v>
      </c>
    </row>
    <row r="14" spans="1:19" ht="12.75">
      <c r="A14" s="61" t="s">
        <v>9</v>
      </c>
      <c r="B14" s="59">
        <v>604.799</v>
      </c>
      <c r="C14" s="59">
        <v>0</v>
      </c>
      <c r="D14" s="2">
        <f t="shared" si="0"/>
        <v>604.799</v>
      </c>
      <c r="E14" s="59">
        <v>0.0597</v>
      </c>
      <c r="F14" s="20">
        <f t="shared" si="8"/>
        <v>36.1065003</v>
      </c>
      <c r="G14" s="20">
        <f t="shared" si="11"/>
        <v>8.749816041162227</v>
      </c>
      <c r="H14" s="20">
        <v>0</v>
      </c>
      <c r="I14" s="65">
        <f t="shared" si="2"/>
        <v>44.85631634116223</v>
      </c>
      <c r="J14" s="62">
        <v>991.2</v>
      </c>
      <c r="K14" s="2">
        <f t="shared" si="3"/>
        <v>44461.58075736</v>
      </c>
      <c r="L14" s="2">
        <f t="shared" si="12"/>
        <v>604.799</v>
      </c>
      <c r="M14" s="20">
        <f t="shared" si="5"/>
        <v>73.51464000000001</v>
      </c>
      <c r="N14" s="60">
        <v>248.222</v>
      </c>
      <c r="O14" s="20">
        <f t="shared" si="9"/>
        <v>256.97181604116224</v>
      </c>
      <c r="P14" s="65">
        <f t="shared" si="10"/>
        <v>212.11549970000002</v>
      </c>
      <c r="Q14" s="58">
        <v>9274.6</v>
      </c>
      <c r="R14" s="1">
        <f t="shared" si="6"/>
        <v>210248.88330264002</v>
      </c>
      <c r="S14" s="4">
        <f t="shared" si="7"/>
        <v>22.66932086587454</v>
      </c>
    </row>
    <row r="15" spans="1:19" ht="12.75">
      <c r="A15" s="61" t="s">
        <v>10</v>
      </c>
      <c r="B15" s="59">
        <v>440.267</v>
      </c>
      <c r="C15" s="59">
        <v>0</v>
      </c>
      <c r="D15" s="2">
        <f t="shared" si="0"/>
        <v>440.267</v>
      </c>
      <c r="E15" s="59">
        <v>0.0614</v>
      </c>
      <c r="F15" s="20">
        <f t="shared" si="8"/>
        <v>27.0323938</v>
      </c>
      <c r="G15" s="20">
        <f t="shared" si="11"/>
        <v>6.369480205811138</v>
      </c>
      <c r="H15" s="20">
        <v>0</v>
      </c>
      <c r="I15" s="65">
        <f t="shared" si="2"/>
        <v>33.40187400581114</v>
      </c>
      <c r="J15" s="62">
        <v>991.2</v>
      </c>
      <c r="K15" s="2">
        <f>I15*J15</f>
        <v>33107.93751456</v>
      </c>
      <c r="L15" s="2">
        <f>D15</f>
        <v>440.267</v>
      </c>
      <c r="M15" s="20">
        <f t="shared" si="5"/>
        <v>75.19968</v>
      </c>
      <c r="N15" s="60">
        <v>145.689</v>
      </c>
      <c r="O15" s="20">
        <f t="shared" si="9"/>
        <v>152.05848020581112</v>
      </c>
      <c r="P15" s="65">
        <f t="shared" si="10"/>
        <v>118.65660619999998</v>
      </c>
      <c r="Q15" s="58">
        <v>5981.3</v>
      </c>
      <c r="R15" s="1">
        <f t="shared" si="6"/>
        <v>117612.42806543999</v>
      </c>
      <c r="S15" s="4">
        <f t="shared" si="7"/>
        <v>19.663355468784378</v>
      </c>
    </row>
    <row r="16" spans="1:19" ht="12.75">
      <c r="A16" s="61" t="s">
        <v>11</v>
      </c>
      <c r="B16" s="59">
        <v>277.473</v>
      </c>
      <c r="C16" s="59">
        <v>0</v>
      </c>
      <c r="D16" s="2">
        <f t="shared" si="0"/>
        <v>277.473</v>
      </c>
      <c r="E16" s="59">
        <v>0.062</v>
      </c>
      <c r="F16" s="20">
        <f t="shared" si="8"/>
        <v>17.203326</v>
      </c>
      <c r="G16" s="20">
        <f t="shared" si="11"/>
        <v>4.014288559322034</v>
      </c>
      <c r="H16" s="20">
        <v>0</v>
      </c>
      <c r="I16" s="65">
        <f t="shared" si="2"/>
        <v>21.217614559322033</v>
      </c>
      <c r="J16" s="62">
        <v>991.2</v>
      </c>
      <c r="K16" s="2">
        <f t="shared" si="3"/>
        <v>21030.8995512</v>
      </c>
      <c r="L16" s="20">
        <f>D16</f>
        <v>277.473</v>
      </c>
      <c r="M16" s="20">
        <f t="shared" si="5"/>
        <v>75.7944</v>
      </c>
      <c r="N16" s="60">
        <v>113.668</v>
      </c>
      <c r="O16" s="20">
        <f t="shared" si="9"/>
        <v>117.68228855932205</v>
      </c>
      <c r="P16" s="65">
        <f t="shared" si="10"/>
        <v>96.46467400000002</v>
      </c>
      <c r="Q16" s="58">
        <v>3323</v>
      </c>
      <c r="R16" s="1">
        <f t="shared" si="6"/>
        <v>95615.78486880002</v>
      </c>
      <c r="S16" s="4">
        <f t="shared" si="7"/>
        <v>28.773934658080055</v>
      </c>
    </row>
    <row r="17" spans="1:19" ht="12.75">
      <c r="A17" s="61" t="s">
        <v>12</v>
      </c>
      <c r="B17" s="59">
        <v>592.964</v>
      </c>
      <c r="C17" s="59">
        <v>0</v>
      </c>
      <c r="D17" s="2">
        <f t="shared" si="0"/>
        <v>592.964</v>
      </c>
      <c r="E17" s="59">
        <v>0.0619</v>
      </c>
      <c r="F17" s="20">
        <f t="shared" si="8"/>
        <v>36.7044716</v>
      </c>
      <c r="G17" s="20">
        <f t="shared" si="11"/>
        <v>8.578595399515738</v>
      </c>
      <c r="H17" s="20">
        <v>0</v>
      </c>
      <c r="I17" s="65">
        <f>F17+G17+H17</f>
        <v>45.28306699951574</v>
      </c>
      <c r="J17" s="62">
        <v>991.2</v>
      </c>
      <c r="K17" s="2">
        <f t="shared" si="3"/>
        <v>44884.576009920005</v>
      </c>
      <c r="L17" s="20">
        <f>D17</f>
        <v>592.964</v>
      </c>
      <c r="M17" s="20">
        <f t="shared" si="5"/>
        <v>75.69528</v>
      </c>
      <c r="N17" s="60">
        <v>187.8</v>
      </c>
      <c r="O17" s="20">
        <f t="shared" si="9"/>
        <v>196.37859539951575</v>
      </c>
      <c r="P17" s="65">
        <f t="shared" si="10"/>
        <v>151.0955284</v>
      </c>
      <c r="Q17" s="58">
        <v>6355.1</v>
      </c>
      <c r="R17" s="1">
        <f t="shared" si="6"/>
        <v>149765.88775008</v>
      </c>
      <c r="S17" s="4">
        <f t="shared" si="7"/>
        <v>23.56625194726755</v>
      </c>
    </row>
    <row r="18" spans="1:19" ht="12.75">
      <c r="A18" s="61" t="s">
        <v>13</v>
      </c>
      <c r="B18" s="59">
        <v>637.799</v>
      </c>
      <c r="C18" s="59">
        <v>0</v>
      </c>
      <c r="D18" s="2">
        <f t="shared" si="0"/>
        <v>637.799</v>
      </c>
      <c r="E18" s="59">
        <v>0.0601</v>
      </c>
      <c r="F18" s="20">
        <f t="shared" si="8"/>
        <v>38.331719899999996</v>
      </c>
      <c r="G18" s="20">
        <f t="shared" si="11"/>
        <v>9.22723734866828</v>
      </c>
      <c r="H18" s="20">
        <v>0</v>
      </c>
      <c r="I18" s="65">
        <f>F18+G18+H18</f>
        <v>47.55895724866828</v>
      </c>
      <c r="J18" s="62">
        <v>991.2</v>
      </c>
      <c r="K18" s="2">
        <f t="shared" si="3"/>
        <v>47140.43842488</v>
      </c>
      <c r="L18" s="2">
        <f t="shared" si="12"/>
        <v>637.799</v>
      </c>
      <c r="M18" s="20">
        <f t="shared" si="5"/>
        <v>73.91112</v>
      </c>
      <c r="N18" s="60">
        <v>160.633</v>
      </c>
      <c r="O18" s="20">
        <f t="shared" si="9"/>
        <v>169.86023734866828</v>
      </c>
      <c r="P18" s="65">
        <f t="shared" si="10"/>
        <v>122.3012801</v>
      </c>
      <c r="Q18" s="58">
        <v>4183.8</v>
      </c>
      <c r="R18" s="1">
        <f t="shared" si="6"/>
        <v>121225.02883512</v>
      </c>
      <c r="S18" s="4">
        <f t="shared" si="7"/>
        <v>28.974862286705864</v>
      </c>
    </row>
    <row r="19" spans="1:19" ht="12.75">
      <c r="A19" s="61" t="s">
        <v>14</v>
      </c>
      <c r="B19" s="59">
        <v>239.556</v>
      </c>
      <c r="C19" s="59">
        <v>0</v>
      </c>
      <c r="D19" s="2">
        <f t="shared" si="0"/>
        <v>239.556</v>
      </c>
      <c r="E19" s="59">
        <v>0.0617</v>
      </c>
      <c r="F19" s="20">
        <f t="shared" si="8"/>
        <v>14.7806052</v>
      </c>
      <c r="G19" s="20">
        <f t="shared" si="11"/>
        <v>3.4657314769975787</v>
      </c>
      <c r="H19" s="20">
        <v>0</v>
      </c>
      <c r="I19" s="65">
        <f t="shared" si="2"/>
        <v>18.24633667699758</v>
      </c>
      <c r="J19" s="62">
        <v>991.2</v>
      </c>
      <c r="K19" s="2">
        <f>I19*J19</f>
        <v>18085.76891424</v>
      </c>
      <c r="L19" s="2">
        <f t="shared" si="12"/>
        <v>239.556</v>
      </c>
      <c r="M19" s="20">
        <f t="shared" si="5"/>
        <v>75.49704</v>
      </c>
      <c r="N19" s="60">
        <v>106.819</v>
      </c>
      <c r="O19" s="20">
        <f t="shared" si="9"/>
        <v>110.28473147699758</v>
      </c>
      <c r="P19" s="65">
        <f t="shared" si="10"/>
        <v>92.03839479999999</v>
      </c>
      <c r="Q19" s="58">
        <v>3908.1</v>
      </c>
      <c r="R19" s="1">
        <f t="shared" si="6"/>
        <v>91228.45692576</v>
      </c>
      <c r="S19" s="4">
        <f t="shared" si="7"/>
        <v>23.343429524771626</v>
      </c>
    </row>
    <row r="20" spans="1:19" ht="12.75">
      <c r="A20" s="61" t="s">
        <v>15</v>
      </c>
      <c r="B20" s="59">
        <v>403.69</v>
      </c>
      <c r="C20" s="59">
        <v>0</v>
      </c>
      <c r="D20" s="2">
        <f t="shared" si="0"/>
        <v>403.69</v>
      </c>
      <c r="E20" s="59">
        <v>0.0631</v>
      </c>
      <c r="F20" s="20">
        <f t="shared" si="8"/>
        <v>25.472839</v>
      </c>
      <c r="G20" s="20">
        <f t="shared" si="11"/>
        <v>5.840309322033898</v>
      </c>
      <c r="H20" s="20">
        <v>0</v>
      </c>
      <c r="I20" s="65">
        <f t="shared" si="2"/>
        <v>31.313148322033896</v>
      </c>
      <c r="J20" s="62">
        <v>991.2</v>
      </c>
      <c r="K20" s="2">
        <f t="shared" si="3"/>
        <v>31037.5926168</v>
      </c>
      <c r="L20" s="2">
        <f t="shared" si="12"/>
        <v>403.69</v>
      </c>
      <c r="M20" s="20">
        <f t="shared" si="5"/>
        <v>76.88472</v>
      </c>
      <c r="N20" s="60">
        <v>185.375</v>
      </c>
      <c r="O20" s="20">
        <f t="shared" si="9"/>
        <v>191.2153093220339</v>
      </c>
      <c r="P20" s="65">
        <f t="shared" si="10"/>
        <v>159.902161</v>
      </c>
      <c r="Q20" s="58">
        <v>5485.5</v>
      </c>
      <c r="R20" s="1">
        <f t="shared" si="6"/>
        <v>158495.02198320001</v>
      </c>
      <c r="S20" s="4">
        <f t="shared" si="7"/>
        <v>28.893450366092427</v>
      </c>
    </row>
    <row r="21" spans="1:19" ht="12.75">
      <c r="A21" s="61" t="s">
        <v>16</v>
      </c>
      <c r="B21" s="59">
        <v>413.531</v>
      </c>
      <c r="C21" s="59">
        <v>0</v>
      </c>
      <c r="D21" s="2">
        <f t="shared" si="0"/>
        <v>413.531</v>
      </c>
      <c r="E21" s="59">
        <v>0.0622</v>
      </c>
      <c r="F21" s="20">
        <f t="shared" si="8"/>
        <v>25.7216282</v>
      </c>
      <c r="G21" s="20">
        <f t="shared" si="11"/>
        <v>5.982682142857143</v>
      </c>
      <c r="H21" s="20">
        <v>0</v>
      </c>
      <c r="I21" s="65">
        <f t="shared" si="2"/>
        <v>31.704310342857145</v>
      </c>
      <c r="J21" s="62">
        <v>991.2</v>
      </c>
      <c r="K21" s="2">
        <f t="shared" si="3"/>
        <v>31425.312411840005</v>
      </c>
      <c r="L21" s="2">
        <f t="shared" si="12"/>
        <v>413.531</v>
      </c>
      <c r="M21" s="20">
        <f t="shared" si="5"/>
        <v>75.99264000000001</v>
      </c>
      <c r="N21" s="60">
        <v>139.135</v>
      </c>
      <c r="O21" s="20">
        <f t="shared" si="9"/>
        <v>145.11768214285712</v>
      </c>
      <c r="P21" s="65">
        <f t="shared" si="10"/>
        <v>113.41337179999998</v>
      </c>
      <c r="Q21" s="58">
        <v>4673.4</v>
      </c>
      <c r="R21" s="1">
        <f t="shared" si="6"/>
        <v>112415.33412815999</v>
      </c>
      <c r="S21" s="4">
        <f t="shared" si="7"/>
        <v>24.054293261471305</v>
      </c>
    </row>
    <row r="22" spans="1:19" ht="12.75">
      <c r="A22" s="61" t="s">
        <v>42</v>
      </c>
      <c r="B22" s="59">
        <v>0</v>
      </c>
      <c r="C22" s="59">
        <v>403</v>
      </c>
      <c r="D22" s="2">
        <f t="shared" si="0"/>
        <v>403</v>
      </c>
      <c r="E22" s="59">
        <v>0.0616</v>
      </c>
      <c r="F22" s="20">
        <f t="shared" si="8"/>
        <v>24.8248</v>
      </c>
      <c r="G22" s="20">
        <f t="shared" si="11"/>
        <v>0</v>
      </c>
      <c r="H22" s="20">
        <f>C22*13.47/991.2</f>
        <v>5.47660411622276</v>
      </c>
      <c r="I22" s="65">
        <f t="shared" si="2"/>
        <v>30.30140411622276</v>
      </c>
      <c r="J22" s="62">
        <v>991.2</v>
      </c>
      <c r="K22" s="2">
        <f t="shared" si="3"/>
        <v>30034.75176</v>
      </c>
      <c r="L22" s="2">
        <f>D22</f>
        <v>403</v>
      </c>
      <c r="M22" s="20">
        <f t="shared" si="5"/>
        <v>74.52792</v>
      </c>
      <c r="N22" s="60">
        <v>127.61</v>
      </c>
      <c r="O22" s="20">
        <f>G22+H22+N22</f>
        <v>133.08660411622276</v>
      </c>
      <c r="P22" s="65">
        <f t="shared" si="10"/>
        <v>102.7852</v>
      </c>
      <c r="Q22" s="58">
        <v>6616.4</v>
      </c>
      <c r="R22" s="1">
        <f t="shared" si="6"/>
        <v>101880.69024000001</v>
      </c>
      <c r="S22" s="4">
        <f t="shared" si="7"/>
        <v>15.3982060093102</v>
      </c>
    </row>
    <row r="23" spans="1:19" ht="12.75">
      <c r="A23" s="61" t="s">
        <v>49</v>
      </c>
      <c r="B23" s="59">
        <v>318.832</v>
      </c>
      <c r="C23" s="59">
        <v>0</v>
      </c>
      <c r="D23" s="2">
        <f t="shared" si="0"/>
        <v>318.832</v>
      </c>
      <c r="E23" s="59">
        <v>0.0621</v>
      </c>
      <c r="F23" s="20">
        <f t="shared" si="8"/>
        <v>19.7994672</v>
      </c>
      <c r="G23" s="20">
        <f t="shared" si="11"/>
        <v>4.612642130750605</v>
      </c>
      <c r="H23" s="20">
        <v>0</v>
      </c>
      <c r="I23" s="65">
        <f t="shared" si="2"/>
        <v>24.412109330750603</v>
      </c>
      <c r="J23" s="62">
        <v>991.2</v>
      </c>
      <c r="K23" s="2">
        <f t="shared" si="3"/>
        <v>24197.282768639998</v>
      </c>
      <c r="L23" s="2">
        <f>D23</f>
        <v>318.832</v>
      </c>
      <c r="M23" s="20">
        <f t="shared" si="5"/>
        <v>75.89352</v>
      </c>
      <c r="N23" s="60">
        <v>27.117</v>
      </c>
      <c r="O23" s="20">
        <f>G23+H23+N23</f>
        <v>31.729642130750605</v>
      </c>
      <c r="P23" s="65">
        <f t="shared" si="10"/>
        <v>7.317532800000002</v>
      </c>
      <c r="Q23" s="58">
        <v>663.9</v>
      </c>
      <c r="R23" s="1">
        <f t="shared" si="6"/>
        <v>7253.138511360003</v>
      </c>
      <c r="S23" s="4">
        <f t="shared" si="7"/>
        <v>10.925046710890198</v>
      </c>
    </row>
    <row r="24" spans="1:19" ht="12.75">
      <c r="A24" s="61" t="s">
        <v>97</v>
      </c>
      <c r="B24" s="59">
        <v>62.239</v>
      </c>
      <c r="C24" s="59">
        <v>56</v>
      </c>
      <c r="D24" s="2">
        <f t="shared" si="0"/>
        <v>118.239</v>
      </c>
      <c r="E24" s="59">
        <v>0.0609</v>
      </c>
      <c r="F24" s="20">
        <f t="shared" si="8"/>
        <v>7.2007551</v>
      </c>
      <c r="G24" s="20">
        <f t="shared" si="11"/>
        <v>0.900431053268765</v>
      </c>
      <c r="H24" s="20">
        <f>C24*13.47/991.2</f>
        <v>0.7610169491525424</v>
      </c>
      <c r="I24" s="66">
        <f>F24+G24+H24</f>
        <v>8.862203102421308</v>
      </c>
      <c r="J24" s="62">
        <v>991.2</v>
      </c>
      <c r="K24" s="2">
        <f t="shared" si="3"/>
        <v>8784.21571512</v>
      </c>
      <c r="L24" s="2">
        <f>D24</f>
        <v>118.239</v>
      </c>
      <c r="M24" s="20">
        <f t="shared" si="5"/>
        <v>74.29203321340675</v>
      </c>
      <c r="N24" s="60">
        <v>66.979</v>
      </c>
      <c r="O24" s="20">
        <f>G24+H24+N24</f>
        <v>68.64044800242131</v>
      </c>
      <c r="P24" s="65">
        <f>O24-I24</f>
        <v>59.778244900000004</v>
      </c>
      <c r="Q24" s="58">
        <v>2905.2</v>
      </c>
      <c r="R24" s="1">
        <f t="shared" si="6"/>
        <v>59252.19634488001</v>
      </c>
      <c r="S24" s="4">
        <f t="shared" si="7"/>
        <v>20.39522110177613</v>
      </c>
    </row>
    <row r="25" spans="1:19" ht="12.75">
      <c r="A25" s="2" t="s">
        <v>17</v>
      </c>
      <c r="B25" s="59"/>
      <c r="C25" s="59">
        <f>SUM(C5:C24)</f>
        <v>2129</v>
      </c>
      <c r="D25" s="2">
        <f>SUM(D5:D24)</f>
        <v>8539.118999999999</v>
      </c>
      <c r="E25" s="59"/>
      <c r="F25" s="20">
        <f>SUM(F5:F24)</f>
        <v>521.6614677000001</v>
      </c>
      <c r="G25" s="20">
        <f>SUM(G5:G24)</f>
        <v>92.73719376513317</v>
      </c>
      <c r="H25" s="20">
        <f>SUM(H5:H24)</f>
        <v>28.932233656174333</v>
      </c>
      <c r="I25" s="65">
        <f>SUM(I5:I24)</f>
        <v>643.3308951213074</v>
      </c>
      <c r="J25" s="2">
        <v>991.2</v>
      </c>
      <c r="K25" s="2">
        <f>SUM(K5:K23)</f>
        <v>628885.3675291201</v>
      </c>
      <c r="L25" s="2">
        <f>SUM(L5:L24)</f>
        <v>8539.118999999999</v>
      </c>
      <c r="M25" s="20">
        <f t="shared" si="5"/>
        <v>73.64757037923</v>
      </c>
      <c r="N25" s="60">
        <f>SUM(N5:N24)</f>
        <v>2953.1580000000004</v>
      </c>
      <c r="O25" s="20">
        <f>SUM(SUM(O5:O24))</f>
        <v>3074.8274274213068</v>
      </c>
      <c r="P25" s="65">
        <f>SUM(P5:P24)</f>
        <v>2431.4965322999997</v>
      </c>
      <c r="Q25" s="57">
        <f>Q5+Q6+Q7+Q8+Q9+Q10+Q11+Q12+Q13+Q14+Q15+Q16+Q17+Q18+Q19+Q20+Q21+Q22</f>
        <v>105007.7</v>
      </c>
      <c r="R25" s="1">
        <f t="shared" si="6"/>
        <v>2410099.3628157596</v>
      </c>
      <c r="S25" s="4">
        <f t="shared" si="7"/>
        <v>22.95164414434141</v>
      </c>
    </row>
    <row r="26" spans="4:14" ht="12.75">
      <c r="D26" s="14"/>
      <c r="E26" s="14"/>
      <c r="F26" s="14"/>
      <c r="G26" s="14"/>
      <c r="H26" s="251"/>
      <c r="I26" s="251"/>
      <c r="J26" s="251"/>
      <c r="K26" s="14"/>
      <c r="L26" s="14"/>
      <c r="M26" s="56"/>
      <c r="N26" s="56"/>
    </row>
    <row r="27" ht="12.75">
      <c r="P27" t="s">
        <v>46</v>
      </c>
    </row>
    <row r="28" spans="2:15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ht="12.75">
      <c r="A30" t="s">
        <v>46</v>
      </c>
    </row>
    <row r="31" spans="1:14" ht="12.75">
      <c r="A31" s="5" t="s">
        <v>46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0"/>
    </row>
    <row r="32" spans="1:14" ht="12.75">
      <c r="A32" s="5" t="s">
        <v>45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0"/>
    </row>
    <row r="33" spans="1:14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0"/>
    </row>
    <row r="34" spans="1:1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0"/>
    </row>
    <row r="35" spans="1:14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0"/>
    </row>
    <row r="38" spans="1:12" ht="12.75">
      <c r="A38" s="5" t="s">
        <v>41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7" ht="12.75">
      <c r="A40" t="s">
        <v>39</v>
      </c>
      <c r="G40" s="5"/>
    </row>
  </sheetData>
  <sheetProtection/>
  <mergeCells count="20">
    <mergeCell ref="A3:A4"/>
    <mergeCell ref="F3:F4"/>
    <mergeCell ref="G3:G4"/>
    <mergeCell ref="H3:H4"/>
    <mergeCell ref="B3:B4"/>
    <mergeCell ref="C3:C4"/>
    <mergeCell ref="D3:D4"/>
    <mergeCell ref="E3:E4"/>
    <mergeCell ref="P3:P4"/>
    <mergeCell ref="Q3:Q4"/>
    <mergeCell ref="R3:R4"/>
    <mergeCell ref="S3:S4"/>
    <mergeCell ref="H26:J26"/>
    <mergeCell ref="O3:O4"/>
    <mergeCell ref="M3:M4"/>
    <mergeCell ref="N3:N4"/>
    <mergeCell ref="K3:K4"/>
    <mergeCell ref="L3:L4"/>
    <mergeCell ref="J3:J4"/>
    <mergeCell ref="I3:I4"/>
  </mergeCells>
  <printOptions/>
  <pageMargins left="0.3937007874015748" right="0.3937007874015748" top="0.3937007874015748" bottom="0.3937007874015748" header="0.31496062992125984" footer="0.1181102362204724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4">
      <selection activeCell="J32" sqref="J32"/>
    </sheetView>
  </sheetViews>
  <sheetFormatPr defaultColWidth="9.00390625" defaultRowHeight="12.75"/>
  <cols>
    <col min="1" max="1" width="16.75390625" style="0" customWidth="1"/>
    <col min="2" max="2" width="6.875" style="0" customWidth="1"/>
    <col min="3" max="3" width="5.00390625" style="0" customWidth="1"/>
    <col min="4" max="4" width="8.125" style="0" customWidth="1"/>
    <col min="5" max="5" width="6.75390625" style="0" customWidth="1"/>
    <col min="6" max="6" width="7.00390625" style="0" customWidth="1"/>
    <col min="7" max="8" width="6.375" style="0" customWidth="1"/>
    <col min="9" max="9" width="6.875" style="0" customWidth="1"/>
    <col min="10" max="10" width="6.375" style="0" customWidth="1"/>
    <col min="11" max="11" width="8.125" style="0" customWidth="1"/>
    <col min="12" max="12" width="7.625" style="0" customWidth="1"/>
    <col min="13" max="13" width="6.25390625" style="0" customWidth="1"/>
    <col min="14" max="14" width="7.625" style="0" customWidth="1"/>
    <col min="15" max="15" width="7.75390625" style="0" customWidth="1"/>
    <col min="16" max="16" width="7.625" style="0" customWidth="1"/>
    <col min="17" max="17" width="7.125" style="0" customWidth="1"/>
    <col min="19" max="19" width="6.75390625" style="3" customWidth="1"/>
  </cols>
  <sheetData>
    <row r="1" spans="1:19" ht="55.5" customHeight="1">
      <c r="A1" s="63" t="s">
        <v>136</v>
      </c>
      <c r="B1" s="63"/>
      <c r="C1" s="63"/>
      <c r="D1" s="63"/>
      <c r="E1" s="63"/>
      <c r="F1" s="64"/>
      <c r="G1" s="16"/>
      <c r="H1" s="279" t="s">
        <v>122</v>
      </c>
      <c r="I1" s="279"/>
      <c r="J1" s="15">
        <v>2014</v>
      </c>
      <c r="K1" s="16"/>
      <c r="L1" s="16" t="s">
        <v>120</v>
      </c>
      <c r="M1" s="16"/>
      <c r="N1" s="16"/>
      <c r="O1" s="16"/>
      <c r="P1" s="16"/>
      <c r="Q1" s="16" t="s">
        <v>119</v>
      </c>
      <c r="R1" s="16"/>
      <c r="S1" s="16"/>
    </row>
    <row r="2" spans="1:1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5"/>
      <c r="N2" s="55"/>
      <c r="O2" s="17"/>
    </row>
    <row r="3" spans="1:19" ht="25.5" customHeight="1">
      <c r="A3" s="252" t="s">
        <v>116</v>
      </c>
      <c r="B3" s="270" t="s">
        <v>126</v>
      </c>
      <c r="C3" s="270" t="s">
        <v>127</v>
      </c>
      <c r="D3" s="272" t="s">
        <v>104</v>
      </c>
      <c r="E3" s="270" t="s">
        <v>100</v>
      </c>
      <c r="F3" s="272" t="s">
        <v>128</v>
      </c>
      <c r="G3" s="268" t="s">
        <v>130</v>
      </c>
      <c r="H3" s="268" t="s">
        <v>131</v>
      </c>
      <c r="I3" s="276" t="s">
        <v>132</v>
      </c>
      <c r="J3" s="278" t="s">
        <v>109</v>
      </c>
      <c r="K3" s="272" t="s">
        <v>124</v>
      </c>
      <c r="L3" s="272" t="s">
        <v>129</v>
      </c>
      <c r="M3" s="241" t="s">
        <v>125</v>
      </c>
      <c r="N3" s="270" t="s">
        <v>133</v>
      </c>
      <c r="O3" s="272" t="s">
        <v>134</v>
      </c>
      <c r="P3" s="274" t="s">
        <v>135</v>
      </c>
      <c r="Q3" s="278" t="s">
        <v>123</v>
      </c>
      <c r="R3" s="266" t="s">
        <v>115</v>
      </c>
      <c r="S3" s="243" t="s">
        <v>117</v>
      </c>
    </row>
    <row r="4" spans="1:19" ht="70.5" customHeight="1">
      <c r="A4" s="253"/>
      <c r="B4" s="271"/>
      <c r="C4" s="271"/>
      <c r="D4" s="273"/>
      <c r="E4" s="271"/>
      <c r="F4" s="273"/>
      <c r="G4" s="242"/>
      <c r="H4" s="242"/>
      <c r="I4" s="277"/>
      <c r="J4" s="242"/>
      <c r="K4" s="273"/>
      <c r="L4" s="273"/>
      <c r="M4" s="269"/>
      <c r="N4" s="271"/>
      <c r="O4" s="273"/>
      <c r="P4" s="275"/>
      <c r="Q4" s="242"/>
      <c r="R4" s="267"/>
      <c r="S4" s="240"/>
    </row>
    <row r="5" spans="1:19" s="72" customFormat="1" ht="10.5" customHeight="1">
      <c r="A5" s="68"/>
      <c r="B5" s="69">
        <v>1</v>
      </c>
      <c r="C5" s="69">
        <v>2</v>
      </c>
      <c r="D5" s="68">
        <v>3</v>
      </c>
      <c r="E5" s="69">
        <v>4</v>
      </c>
      <c r="F5" s="68">
        <v>5</v>
      </c>
      <c r="G5" s="70">
        <v>6</v>
      </c>
      <c r="H5" s="70">
        <v>7</v>
      </c>
      <c r="I5" s="68">
        <v>8</v>
      </c>
      <c r="J5" s="70">
        <v>9</v>
      </c>
      <c r="K5" s="68">
        <v>10</v>
      </c>
      <c r="L5" s="68">
        <v>11</v>
      </c>
      <c r="M5" s="68">
        <v>12</v>
      </c>
      <c r="N5" s="69">
        <v>13</v>
      </c>
      <c r="O5" s="68">
        <v>14</v>
      </c>
      <c r="P5" s="68">
        <v>15</v>
      </c>
      <c r="Q5" s="70">
        <v>16</v>
      </c>
      <c r="R5" s="68">
        <v>17</v>
      </c>
      <c r="S5" s="71">
        <v>18</v>
      </c>
    </row>
    <row r="6" spans="1:19" ht="12.75">
      <c r="A6" s="61" t="s">
        <v>0</v>
      </c>
      <c r="B6" s="60">
        <v>510.929</v>
      </c>
      <c r="C6" s="59">
        <v>0</v>
      </c>
      <c r="D6" s="2">
        <f aca="true" t="shared" si="0" ref="D6:D25">B6+C6</f>
        <v>510.929</v>
      </c>
      <c r="E6" s="67">
        <v>0.0594</v>
      </c>
      <c r="F6" s="20">
        <f>D6*E6</f>
        <v>30.3491826</v>
      </c>
      <c r="G6" s="80">
        <f aca="true" t="shared" si="1" ref="G6:G25">B6*14.34/991.2</f>
        <v>7.391769430992736</v>
      </c>
      <c r="H6" s="80">
        <f>C6*13.47/991.2</f>
        <v>0</v>
      </c>
      <c r="I6" s="65">
        <f aca="true" t="shared" si="2" ref="I6:I25">F6+G6+H6</f>
        <v>37.74095203099274</v>
      </c>
      <c r="J6" s="62">
        <v>991.2</v>
      </c>
      <c r="K6" s="2">
        <f>I6*J6</f>
        <v>37408.83165312</v>
      </c>
      <c r="L6" s="20">
        <f>D6</f>
        <v>510.929</v>
      </c>
      <c r="M6" s="20">
        <f>K6/L6</f>
        <v>73.21728000000002</v>
      </c>
      <c r="N6" s="60">
        <v>189.099</v>
      </c>
      <c r="O6" s="20">
        <f>G6+H6+N6</f>
        <v>196.4907694309927</v>
      </c>
      <c r="P6" s="65">
        <f>O6-I6</f>
        <v>158.74981739999998</v>
      </c>
      <c r="Q6" s="58">
        <v>9290.5</v>
      </c>
      <c r="R6" s="1">
        <f>P6*J6</f>
        <v>157352.81900688</v>
      </c>
      <c r="S6" s="4">
        <f>R6/Q6</f>
        <v>16.936959152562295</v>
      </c>
    </row>
    <row r="7" spans="1:19" ht="12.75">
      <c r="A7" s="61" t="s">
        <v>1</v>
      </c>
      <c r="B7" s="60">
        <v>40.103</v>
      </c>
      <c r="C7" s="59">
        <v>955</v>
      </c>
      <c r="D7" s="2">
        <f t="shared" si="0"/>
        <v>995.103</v>
      </c>
      <c r="E7" s="59">
        <v>0.0581</v>
      </c>
      <c r="F7" s="20">
        <f>D7*E7</f>
        <v>57.815484299999994</v>
      </c>
      <c r="G7" s="80">
        <f t="shared" si="1"/>
        <v>0.5801826271186441</v>
      </c>
      <c r="H7" s="80">
        <f>C7*13.47/991.2</f>
        <v>12.978056900726392</v>
      </c>
      <c r="I7" s="65">
        <f t="shared" si="2"/>
        <v>71.37372382784503</v>
      </c>
      <c r="J7" s="62">
        <v>991.2</v>
      </c>
      <c r="K7" s="2">
        <f aca="true" t="shared" si="3" ref="K7:K25">I7*J7</f>
        <v>70745.63505816</v>
      </c>
      <c r="L7" s="2">
        <f aca="true" t="shared" si="4" ref="L7:L12">D7</f>
        <v>995.103</v>
      </c>
      <c r="M7" s="20">
        <f aca="true" t="shared" si="5" ref="M7:M26">K7/L7</f>
        <v>71.09378130521162</v>
      </c>
      <c r="N7" s="60">
        <v>242.392</v>
      </c>
      <c r="O7" s="20">
        <f>G7+H7+N7</f>
        <v>255.95023952784504</v>
      </c>
      <c r="P7" s="65">
        <f>O7-I7</f>
        <v>184.57651570000002</v>
      </c>
      <c r="Q7" s="58">
        <v>9725.3</v>
      </c>
      <c r="R7" s="1">
        <f aca="true" t="shared" si="6" ref="R7:R26">P7*J7</f>
        <v>182952.24236184004</v>
      </c>
      <c r="S7" s="4">
        <f aca="true" t="shared" si="7" ref="S7:S26">R7/Q7</f>
        <v>18.811989590227554</v>
      </c>
    </row>
    <row r="8" spans="1:19" ht="12.75">
      <c r="A8" s="61" t="s">
        <v>2</v>
      </c>
      <c r="B8" s="60">
        <v>43.946</v>
      </c>
      <c r="C8" s="59">
        <v>618</v>
      </c>
      <c r="D8" s="2">
        <f t="shared" si="0"/>
        <v>661.946</v>
      </c>
      <c r="E8" s="59">
        <v>0.0579</v>
      </c>
      <c r="F8" s="20">
        <f aca="true" t="shared" si="8" ref="F8:F25">D8*E8</f>
        <v>38.326673400000004</v>
      </c>
      <c r="G8" s="80">
        <f t="shared" si="1"/>
        <v>0.6357805084745761</v>
      </c>
      <c r="H8" s="80">
        <f>C8*13.47/991.2</f>
        <v>8.398365617433415</v>
      </c>
      <c r="I8" s="65">
        <f t="shared" si="2"/>
        <v>47.36081952590799</v>
      </c>
      <c r="J8" s="62">
        <v>991.2</v>
      </c>
      <c r="K8" s="2">
        <f t="shared" si="3"/>
        <v>46944.044314080005</v>
      </c>
      <c r="L8" s="2">
        <f t="shared" si="4"/>
        <v>661.946</v>
      </c>
      <c r="M8" s="20">
        <f>K8/L8</f>
        <v>70.91823851806643</v>
      </c>
      <c r="N8" s="60">
        <v>155.68</v>
      </c>
      <c r="O8" s="20">
        <f aca="true" t="shared" si="9" ref="O8:O22">G8+H8+N8</f>
        <v>164.714146125908</v>
      </c>
      <c r="P8" s="65">
        <f>O8-I8</f>
        <v>117.3533266</v>
      </c>
      <c r="Q8" s="58">
        <v>6610</v>
      </c>
      <c r="R8" s="1">
        <f t="shared" si="6"/>
        <v>116320.61732592001</v>
      </c>
      <c r="S8" s="4">
        <f t="shared" si="7"/>
        <v>17.59767281783964</v>
      </c>
    </row>
    <row r="9" spans="1:19" ht="12.75">
      <c r="A9" s="61" t="s">
        <v>3</v>
      </c>
      <c r="B9" s="60">
        <v>681.367</v>
      </c>
      <c r="C9" s="59">
        <v>0</v>
      </c>
      <c r="D9" s="2">
        <f t="shared" si="0"/>
        <v>681.367</v>
      </c>
      <c r="E9" s="59">
        <v>0.0601</v>
      </c>
      <c r="F9" s="20">
        <f t="shared" si="8"/>
        <v>40.9501567</v>
      </c>
      <c r="G9" s="80">
        <f t="shared" si="1"/>
        <v>9.85754921307506</v>
      </c>
      <c r="H9" s="80">
        <v>0</v>
      </c>
      <c r="I9" s="65">
        <f t="shared" si="2"/>
        <v>50.80770591307506</v>
      </c>
      <c r="J9" s="62">
        <v>991.2</v>
      </c>
      <c r="K9" s="2">
        <f t="shared" si="3"/>
        <v>50360.59810104001</v>
      </c>
      <c r="L9" s="2">
        <f t="shared" si="4"/>
        <v>681.367</v>
      </c>
      <c r="M9" s="20">
        <f t="shared" si="5"/>
        <v>73.91112000000001</v>
      </c>
      <c r="N9" s="60">
        <v>180.219</v>
      </c>
      <c r="O9" s="20">
        <f t="shared" si="9"/>
        <v>190.07654921307505</v>
      </c>
      <c r="P9" s="65">
        <f>O9-I9</f>
        <v>139.2688433</v>
      </c>
      <c r="Q9" s="58">
        <v>6343.9</v>
      </c>
      <c r="R9" s="1">
        <f t="shared" si="6"/>
        <v>138043.27747896</v>
      </c>
      <c r="S9" s="4">
        <f t="shared" si="7"/>
        <v>21.760002124711928</v>
      </c>
    </row>
    <row r="10" spans="1:19" ht="12.75">
      <c r="A10" s="61" t="s">
        <v>4</v>
      </c>
      <c r="B10" s="60">
        <v>537.469</v>
      </c>
      <c r="C10" s="59">
        <v>0</v>
      </c>
      <c r="D10" s="2">
        <f t="shared" si="0"/>
        <v>537.469</v>
      </c>
      <c r="E10" s="59">
        <v>0.0596</v>
      </c>
      <c r="F10" s="20">
        <f t="shared" si="8"/>
        <v>32.033152400000006</v>
      </c>
      <c r="G10" s="80">
        <f t="shared" si="1"/>
        <v>7.7757319007263925</v>
      </c>
      <c r="H10" s="80">
        <v>0</v>
      </c>
      <c r="I10" s="65">
        <f t="shared" si="2"/>
        <v>39.8088843007264</v>
      </c>
      <c r="J10" s="62">
        <v>991.2</v>
      </c>
      <c r="K10" s="2">
        <f t="shared" si="3"/>
        <v>39458.56611888001</v>
      </c>
      <c r="L10" s="2">
        <f t="shared" si="4"/>
        <v>537.469</v>
      </c>
      <c r="M10" s="20">
        <f t="shared" si="5"/>
        <v>73.41552</v>
      </c>
      <c r="N10" s="60">
        <v>139.056</v>
      </c>
      <c r="O10" s="20">
        <f t="shared" si="9"/>
        <v>146.8317319007264</v>
      </c>
      <c r="P10" s="65">
        <f aca="true" t="shared" si="10" ref="P10:P24">O10-I10</f>
        <v>107.0228476</v>
      </c>
      <c r="Q10" s="58">
        <v>5989.7</v>
      </c>
      <c r="R10" s="1">
        <f t="shared" si="6"/>
        <v>106081.04654112001</v>
      </c>
      <c r="S10" s="4">
        <f t="shared" si="7"/>
        <v>17.710577581701923</v>
      </c>
    </row>
    <row r="11" spans="1:19" ht="12.75">
      <c r="A11" s="61" t="s">
        <v>5</v>
      </c>
      <c r="B11" s="60">
        <v>626.281</v>
      </c>
      <c r="C11" s="59">
        <v>0</v>
      </c>
      <c r="D11" s="2">
        <f t="shared" si="0"/>
        <v>626.281</v>
      </c>
      <c r="E11" s="59">
        <v>0.0589</v>
      </c>
      <c r="F11" s="20">
        <f t="shared" si="8"/>
        <v>36.8879509</v>
      </c>
      <c r="G11" s="80">
        <f t="shared" si="1"/>
        <v>9.06060284503632</v>
      </c>
      <c r="H11" s="80">
        <v>0</v>
      </c>
      <c r="I11" s="65">
        <f t="shared" si="2"/>
        <v>45.94855374503632</v>
      </c>
      <c r="J11" s="62">
        <v>991.2</v>
      </c>
      <c r="K11" s="2">
        <f t="shared" si="3"/>
        <v>45544.206472080004</v>
      </c>
      <c r="L11" s="2">
        <f t="shared" si="4"/>
        <v>626.281</v>
      </c>
      <c r="M11" s="20">
        <f t="shared" si="5"/>
        <v>72.72168</v>
      </c>
      <c r="N11" s="60">
        <v>151.841</v>
      </c>
      <c r="O11" s="20">
        <f t="shared" si="9"/>
        <v>160.90160284503634</v>
      </c>
      <c r="P11" s="65">
        <f t="shared" si="10"/>
        <v>114.95304910000002</v>
      </c>
      <c r="Q11" s="58">
        <v>5514.4</v>
      </c>
      <c r="R11" s="1">
        <f t="shared" si="6"/>
        <v>113941.46226792003</v>
      </c>
      <c r="S11" s="4">
        <f t="shared" si="7"/>
        <v>20.662531239648924</v>
      </c>
    </row>
    <row r="12" spans="1:19" ht="12.75">
      <c r="A12" s="61" t="s">
        <v>6</v>
      </c>
      <c r="B12" s="60">
        <v>229.819</v>
      </c>
      <c r="C12" s="59">
        <v>38</v>
      </c>
      <c r="D12" s="2">
        <f t="shared" si="0"/>
        <v>267.81899999999996</v>
      </c>
      <c r="E12" s="59">
        <v>0.0605</v>
      </c>
      <c r="F12" s="20">
        <f t="shared" si="8"/>
        <v>16.2030495</v>
      </c>
      <c r="G12" s="80">
        <f t="shared" si="1"/>
        <v>3.3248632566585954</v>
      </c>
      <c r="H12" s="80">
        <f>C12*13.47/991.2</f>
        <v>0.5164043583535108</v>
      </c>
      <c r="I12" s="65">
        <f t="shared" si="2"/>
        <v>20.044317115012106</v>
      </c>
      <c r="J12" s="62">
        <v>991.2</v>
      </c>
      <c r="K12" s="2">
        <f t="shared" si="3"/>
        <v>19867.9271244</v>
      </c>
      <c r="L12" s="2">
        <f t="shared" si="4"/>
        <v>267.81899999999996</v>
      </c>
      <c r="M12" s="20">
        <f t="shared" si="5"/>
        <v>74.18415842191929</v>
      </c>
      <c r="N12" s="60">
        <v>150.608</v>
      </c>
      <c r="O12" s="20">
        <f t="shared" si="9"/>
        <v>154.4492676150121</v>
      </c>
      <c r="P12" s="65">
        <f t="shared" si="10"/>
        <v>134.40495049999998</v>
      </c>
      <c r="Q12" s="58">
        <v>7253</v>
      </c>
      <c r="R12" s="1">
        <f t="shared" si="6"/>
        <v>133222.18693559998</v>
      </c>
      <c r="S12" s="4">
        <f t="shared" si="7"/>
        <v>18.367873560678337</v>
      </c>
    </row>
    <row r="13" spans="1:19" ht="12.75">
      <c r="A13" s="61" t="s">
        <v>7</v>
      </c>
      <c r="B13" s="60">
        <v>1.867</v>
      </c>
      <c r="C13" s="59">
        <v>0</v>
      </c>
      <c r="D13" s="2">
        <f t="shared" si="0"/>
        <v>1.867</v>
      </c>
      <c r="E13" s="59">
        <v>0.0575</v>
      </c>
      <c r="F13" s="20">
        <f t="shared" si="8"/>
        <v>0.1073525</v>
      </c>
      <c r="G13" s="80">
        <f t="shared" si="1"/>
        <v>0.02701047215496368</v>
      </c>
      <c r="H13" s="80">
        <v>0</v>
      </c>
      <c r="I13" s="65">
        <f t="shared" si="2"/>
        <v>0.13436297215496368</v>
      </c>
      <c r="J13" s="84">
        <v>1590.78</v>
      </c>
      <c r="K13" s="2">
        <f t="shared" si="3"/>
        <v>213.7419288446731</v>
      </c>
      <c r="L13" s="2">
        <f>D13</f>
        <v>1.867</v>
      </c>
      <c r="M13" s="20">
        <f>K13/L13</f>
        <v>114.48416113801453</v>
      </c>
      <c r="N13" s="60">
        <v>15.859</v>
      </c>
      <c r="O13" s="20">
        <f t="shared" si="9"/>
        <v>15.886010472154963</v>
      </c>
      <c r="P13" s="65">
        <f t="shared" si="10"/>
        <v>15.751647499999999</v>
      </c>
      <c r="Q13" s="58">
        <v>760.9</v>
      </c>
      <c r="R13" s="1">
        <f>P13*J13</f>
        <v>25057.405810049997</v>
      </c>
      <c r="S13" s="4">
        <f t="shared" si="7"/>
        <v>32.93127324227888</v>
      </c>
    </row>
    <row r="14" spans="1:19" ht="12.75">
      <c r="A14" s="61" t="s">
        <v>8</v>
      </c>
      <c r="B14" s="60">
        <v>381.798</v>
      </c>
      <c r="C14" s="59">
        <v>0</v>
      </c>
      <c r="D14" s="2">
        <f t="shared" si="0"/>
        <v>381.798</v>
      </c>
      <c r="E14" s="59">
        <v>0.0572</v>
      </c>
      <c r="F14" s="20">
        <f t="shared" si="8"/>
        <v>21.8388456</v>
      </c>
      <c r="G14" s="80">
        <f t="shared" si="1"/>
        <v>5.5235909200968525</v>
      </c>
      <c r="H14" s="80">
        <v>0</v>
      </c>
      <c r="I14" s="65">
        <f t="shared" si="2"/>
        <v>27.36243652009685</v>
      </c>
      <c r="J14" s="62">
        <v>991.2</v>
      </c>
      <c r="K14" s="2">
        <f t="shared" si="3"/>
        <v>27121.647078719998</v>
      </c>
      <c r="L14" s="2">
        <f aca="true" t="shared" si="11" ref="L14:L22">D14</f>
        <v>381.798</v>
      </c>
      <c r="M14" s="20">
        <f t="shared" si="5"/>
        <v>71.03663999999999</v>
      </c>
      <c r="N14" s="60">
        <v>98.631</v>
      </c>
      <c r="O14" s="20">
        <f t="shared" si="9"/>
        <v>104.15459092009685</v>
      </c>
      <c r="P14" s="65">
        <f t="shared" si="10"/>
        <v>76.7921544</v>
      </c>
      <c r="Q14" s="58">
        <v>3718.8</v>
      </c>
      <c r="R14" s="1">
        <f t="shared" si="6"/>
        <v>76116.38344128</v>
      </c>
      <c r="S14" s="4">
        <f t="shared" si="7"/>
        <v>20.467995977541143</v>
      </c>
    </row>
    <row r="15" spans="1:19" ht="12.75">
      <c r="A15" s="61" t="s">
        <v>9</v>
      </c>
      <c r="B15" s="60">
        <v>717.383</v>
      </c>
      <c r="C15" s="59">
        <v>0</v>
      </c>
      <c r="D15" s="2">
        <f t="shared" si="0"/>
        <v>717.383</v>
      </c>
      <c r="E15" s="59">
        <v>0.0578</v>
      </c>
      <c r="F15" s="20">
        <f t="shared" si="8"/>
        <v>41.4647374</v>
      </c>
      <c r="G15" s="80">
        <f t="shared" si="1"/>
        <v>10.378603934624698</v>
      </c>
      <c r="H15" s="80">
        <v>0</v>
      </c>
      <c r="I15" s="65">
        <f t="shared" si="2"/>
        <v>51.8433413346247</v>
      </c>
      <c r="J15" s="62">
        <v>991.2</v>
      </c>
      <c r="K15" s="2">
        <f t="shared" si="3"/>
        <v>51387.11993088</v>
      </c>
      <c r="L15" s="2">
        <f t="shared" si="11"/>
        <v>717.383</v>
      </c>
      <c r="M15" s="20">
        <f t="shared" si="5"/>
        <v>71.63136</v>
      </c>
      <c r="N15" s="60">
        <v>222.049</v>
      </c>
      <c r="O15" s="20">
        <f t="shared" si="9"/>
        <v>232.4276039346247</v>
      </c>
      <c r="P15" s="65">
        <f t="shared" si="10"/>
        <v>180.5842626</v>
      </c>
      <c r="Q15" s="58">
        <v>9274.6</v>
      </c>
      <c r="R15" s="1">
        <f t="shared" si="6"/>
        <v>178995.12108912</v>
      </c>
      <c r="S15" s="4">
        <f t="shared" si="7"/>
        <v>19.299497669885493</v>
      </c>
    </row>
    <row r="16" spans="1:19" ht="12.75">
      <c r="A16" s="61" t="s">
        <v>10</v>
      </c>
      <c r="B16" s="60">
        <v>536.171</v>
      </c>
      <c r="C16" s="59">
        <v>0</v>
      </c>
      <c r="D16" s="2">
        <f t="shared" si="0"/>
        <v>536.171</v>
      </c>
      <c r="E16" s="59">
        <v>0.0601</v>
      </c>
      <c r="F16" s="20">
        <f t="shared" si="8"/>
        <v>32.2238771</v>
      </c>
      <c r="G16" s="80">
        <f t="shared" si="1"/>
        <v>7.756953329297821</v>
      </c>
      <c r="H16" s="80">
        <v>0</v>
      </c>
      <c r="I16" s="65">
        <f t="shared" si="2"/>
        <v>39.980830429297825</v>
      </c>
      <c r="J16" s="62">
        <v>991.2</v>
      </c>
      <c r="K16" s="2">
        <f t="shared" si="3"/>
        <v>39628.999121520006</v>
      </c>
      <c r="L16" s="2">
        <f>D16</f>
        <v>536.171</v>
      </c>
      <c r="M16" s="20">
        <f t="shared" si="5"/>
        <v>73.91112000000001</v>
      </c>
      <c r="N16" s="60">
        <v>137.675</v>
      </c>
      <c r="O16" s="20">
        <f t="shared" si="9"/>
        <v>145.43195332929784</v>
      </c>
      <c r="P16" s="65">
        <f t="shared" si="10"/>
        <v>105.45112290000002</v>
      </c>
      <c r="Q16" s="58">
        <v>5981.3</v>
      </c>
      <c r="R16" s="1">
        <f t="shared" si="6"/>
        <v>104523.15301848002</v>
      </c>
      <c r="S16" s="4">
        <f t="shared" si="7"/>
        <v>17.47498921948072</v>
      </c>
    </row>
    <row r="17" spans="1:19" ht="12.75">
      <c r="A17" s="61" t="s">
        <v>11</v>
      </c>
      <c r="B17" s="60">
        <v>343.126</v>
      </c>
      <c r="C17" s="59">
        <v>0</v>
      </c>
      <c r="D17" s="2">
        <f t="shared" si="0"/>
        <v>343.126</v>
      </c>
      <c r="E17" s="59">
        <v>0.058</v>
      </c>
      <c r="F17" s="20">
        <f t="shared" si="8"/>
        <v>19.901308</v>
      </c>
      <c r="G17" s="80">
        <f t="shared" si="1"/>
        <v>4.964111016949151</v>
      </c>
      <c r="H17" s="80">
        <v>0</v>
      </c>
      <c r="I17" s="65">
        <f t="shared" si="2"/>
        <v>24.86541901694915</v>
      </c>
      <c r="J17" s="62">
        <v>991.2</v>
      </c>
      <c r="K17" s="2">
        <f t="shared" si="3"/>
        <v>24646.6033296</v>
      </c>
      <c r="L17" s="20">
        <f>D17</f>
        <v>343.126</v>
      </c>
      <c r="M17" s="20">
        <f t="shared" si="5"/>
        <v>71.8296</v>
      </c>
      <c r="N17" s="60">
        <v>89.482</v>
      </c>
      <c r="O17" s="20">
        <f t="shared" si="9"/>
        <v>94.44611101694915</v>
      </c>
      <c r="P17" s="65">
        <f t="shared" si="10"/>
        <v>69.580692</v>
      </c>
      <c r="Q17" s="58">
        <v>3323</v>
      </c>
      <c r="R17" s="1">
        <f t="shared" si="6"/>
        <v>68968.3819104</v>
      </c>
      <c r="S17" s="4">
        <f t="shared" si="7"/>
        <v>20.754854622449592</v>
      </c>
    </row>
    <row r="18" spans="1:19" ht="12.75">
      <c r="A18" s="61" t="s">
        <v>12</v>
      </c>
      <c r="B18" s="60">
        <v>682.185</v>
      </c>
      <c r="C18" s="59">
        <v>0</v>
      </c>
      <c r="D18" s="2">
        <f t="shared" si="0"/>
        <v>682.185</v>
      </c>
      <c r="E18" s="59">
        <v>0.0602</v>
      </c>
      <c r="F18" s="20">
        <f t="shared" si="8"/>
        <v>41.067536999999994</v>
      </c>
      <c r="G18" s="80">
        <f t="shared" si="1"/>
        <v>9.869383474576269</v>
      </c>
      <c r="H18" s="80">
        <v>0</v>
      </c>
      <c r="I18" s="65">
        <f t="shared" si="2"/>
        <v>50.93692047457626</v>
      </c>
      <c r="J18" s="62">
        <v>991.2</v>
      </c>
      <c r="K18" s="2">
        <f t="shared" si="3"/>
        <v>50488.67557439999</v>
      </c>
      <c r="L18" s="20">
        <f>D18</f>
        <v>682.185</v>
      </c>
      <c r="M18" s="20">
        <f t="shared" si="5"/>
        <v>74.01024</v>
      </c>
      <c r="N18" s="60">
        <v>175.781</v>
      </c>
      <c r="O18" s="20">
        <f t="shared" si="9"/>
        <v>185.65038347457627</v>
      </c>
      <c r="P18" s="65">
        <f t="shared" si="10"/>
        <v>134.71346300000002</v>
      </c>
      <c r="Q18" s="58">
        <v>6355.1</v>
      </c>
      <c r="R18" s="1">
        <f t="shared" si="6"/>
        <v>133527.9845256</v>
      </c>
      <c r="S18" s="4">
        <f t="shared" si="7"/>
        <v>21.011153959119447</v>
      </c>
    </row>
    <row r="19" spans="1:19" ht="12.75">
      <c r="A19" s="61" t="s">
        <v>13</v>
      </c>
      <c r="B19" s="60">
        <v>733.928</v>
      </c>
      <c r="C19" s="59">
        <v>0</v>
      </c>
      <c r="D19" s="2">
        <f t="shared" si="0"/>
        <v>733.928</v>
      </c>
      <c r="E19" s="59">
        <v>0.0567</v>
      </c>
      <c r="F19" s="20">
        <f t="shared" si="8"/>
        <v>41.6137176</v>
      </c>
      <c r="G19" s="80">
        <f t="shared" si="1"/>
        <v>10.617965617433413</v>
      </c>
      <c r="H19" s="80">
        <v>0</v>
      </c>
      <c r="I19" s="65">
        <f t="shared" si="2"/>
        <v>52.231683217433414</v>
      </c>
      <c r="J19" s="62">
        <v>991.2</v>
      </c>
      <c r="K19" s="2">
        <f t="shared" si="3"/>
        <v>51772.04440512</v>
      </c>
      <c r="L19" s="2">
        <f t="shared" si="11"/>
        <v>733.928</v>
      </c>
      <c r="M19" s="20">
        <f t="shared" si="5"/>
        <v>70.54104000000001</v>
      </c>
      <c r="N19" s="60">
        <v>149.323</v>
      </c>
      <c r="O19" s="20">
        <f t="shared" si="9"/>
        <v>159.94096561743342</v>
      </c>
      <c r="P19" s="65">
        <f t="shared" si="10"/>
        <v>107.7092824</v>
      </c>
      <c r="Q19" s="58">
        <v>4183.8</v>
      </c>
      <c r="R19" s="1">
        <f t="shared" si="6"/>
        <v>106761.44071488001</v>
      </c>
      <c r="S19" s="4">
        <f t="shared" si="7"/>
        <v>25.517816510081744</v>
      </c>
    </row>
    <row r="20" spans="1:19" ht="12.75">
      <c r="A20" s="61" t="s">
        <v>14</v>
      </c>
      <c r="B20" s="60">
        <v>300.57</v>
      </c>
      <c r="C20" s="59">
        <v>0</v>
      </c>
      <c r="D20" s="2">
        <f t="shared" si="0"/>
        <v>300.57</v>
      </c>
      <c r="E20" s="59">
        <v>0.0597</v>
      </c>
      <c r="F20" s="20">
        <f t="shared" si="8"/>
        <v>17.944029</v>
      </c>
      <c r="G20" s="80">
        <f t="shared" si="1"/>
        <v>4.3484400726392245</v>
      </c>
      <c r="H20" s="80">
        <v>0</v>
      </c>
      <c r="I20" s="65">
        <f t="shared" si="2"/>
        <v>22.292469072639225</v>
      </c>
      <c r="J20" s="62">
        <v>991.2</v>
      </c>
      <c r="K20" s="2">
        <f t="shared" si="3"/>
        <v>22096.2953448</v>
      </c>
      <c r="L20" s="2">
        <f t="shared" si="11"/>
        <v>300.57</v>
      </c>
      <c r="M20" s="20">
        <f t="shared" si="5"/>
        <v>73.51464</v>
      </c>
      <c r="N20" s="60">
        <v>101.484</v>
      </c>
      <c r="O20" s="20">
        <f t="shared" si="9"/>
        <v>105.83244007263922</v>
      </c>
      <c r="P20" s="65">
        <f t="shared" si="10"/>
        <v>83.539971</v>
      </c>
      <c r="Q20" s="58">
        <v>3908.1</v>
      </c>
      <c r="R20" s="1">
        <f t="shared" si="6"/>
        <v>82804.8192552</v>
      </c>
      <c r="S20" s="4">
        <f t="shared" si="7"/>
        <v>21.187999092960773</v>
      </c>
    </row>
    <row r="21" spans="1:19" ht="12.75">
      <c r="A21" s="61" t="s">
        <v>15</v>
      </c>
      <c r="B21" s="60">
        <v>485.756</v>
      </c>
      <c r="C21" s="59">
        <v>0</v>
      </c>
      <c r="D21" s="2">
        <f t="shared" si="0"/>
        <v>485.756</v>
      </c>
      <c r="E21" s="59">
        <v>0.0604</v>
      </c>
      <c r="F21" s="20">
        <f t="shared" si="8"/>
        <v>29.339662399999998</v>
      </c>
      <c r="G21" s="80">
        <f t="shared" si="1"/>
        <v>7.027583777239709</v>
      </c>
      <c r="H21" s="80">
        <v>0</v>
      </c>
      <c r="I21" s="65">
        <f t="shared" si="2"/>
        <v>36.36724617723971</v>
      </c>
      <c r="J21" s="62">
        <v>991.2</v>
      </c>
      <c r="K21" s="2">
        <f t="shared" si="3"/>
        <v>36047.21441088</v>
      </c>
      <c r="L21" s="2">
        <f t="shared" si="11"/>
        <v>485.756</v>
      </c>
      <c r="M21" s="20">
        <f t="shared" si="5"/>
        <v>74.20848</v>
      </c>
      <c r="N21" s="60">
        <v>158.111</v>
      </c>
      <c r="O21" s="20">
        <f t="shared" si="9"/>
        <v>165.1385837772397</v>
      </c>
      <c r="P21" s="65">
        <f t="shared" si="10"/>
        <v>128.77133759999998</v>
      </c>
      <c r="Q21" s="58">
        <v>5485.5</v>
      </c>
      <c r="R21" s="1">
        <f t="shared" si="6"/>
        <v>127638.14982911998</v>
      </c>
      <c r="S21" s="4">
        <f t="shared" si="7"/>
        <v>23.26827997978671</v>
      </c>
    </row>
    <row r="22" spans="1:19" ht="12.75">
      <c r="A22" s="61" t="s">
        <v>16</v>
      </c>
      <c r="B22" s="60">
        <v>493.748</v>
      </c>
      <c r="C22" s="59">
        <v>0</v>
      </c>
      <c r="D22" s="2">
        <f t="shared" si="0"/>
        <v>493.748</v>
      </c>
      <c r="E22" s="59">
        <v>0.0601</v>
      </c>
      <c r="F22" s="20">
        <f t="shared" si="8"/>
        <v>29.6742548</v>
      </c>
      <c r="G22" s="80">
        <f t="shared" si="1"/>
        <v>7.143206537530266</v>
      </c>
      <c r="H22" s="80">
        <v>0</v>
      </c>
      <c r="I22" s="65">
        <f t="shared" si="2"/>
        <v>36.81746133753027</v>
      </c>
      <c r="J22" s="62">
        <v>991.2</v>
      </c>
      <c r="K22" s="2">
        <f t="shared" si="3"/>
        <v>36493.46767776</v>
      </c>
      <c r="L22" s="2">
        <f t="shared" si="11"/>
        <v>493.748</v>
      </c>
      <c r="M22" s="20">
        <f t="shared" si="5"/>
        <v>73.91112000000001</v>
      </c>
      <c r="N22" s="60">
        <v>131.471</v>
      </c>
      <c r="O22" s="20">
        <f t="shared" si="9"/>
        <v>138.61420653753026</v>
      </c>
      <c r="P22" s="65">
        <f t="shared" si="10"/>
        <v>101.7967452</v>
      </c>
      <c r="Q22" s="58">
        <v>4673.4</v>
      </c>
      <c r="R22" s="1">
        <f t="shared" si="6"/>
        <v>100900.93384224</v>
      </c>
      <c r="S22" s="4">
        <f t="shared" si="7"/>
        <v>21.590476706945694</v>
      </c>
    </row>
    <row r="23" spans="1:19" ht="12.75">
      <c r="A23" s="61" t="s">
        <v>42</v>
      </c>
      <c r="B23" s="60">
        <v>0</v>
      </c>
      <c r="C23" s="59">
        <v>491</v>
      </c>
      <c r="D23" s="2">
        <f t="shared" si="0"/>
        <v>491</v>
      </c>
      <c r="E23" s="59">
        <v>0.0595</v>
      </c>
      <c r="F23" s="20">
        <f t="shared" si="8"/>
        <v>29.214499999999997</v>
      </c>
      <c r="G23" s="80">
        <f t="shared" si="1"/>
        <v>0</v>
      </c>
      <c r="H23" s="80">
        <f>C23*13.47/991.2</f>
        <v>6.67248789346247</v>
      </c>
      <c r="I23" s="65">
        <f t="shared" si="2"/>
        <v>35.88698789346247</v>
      </c>
      <c r="J23" s="62">
        <v>991.2</v>
      </c>
      <c r="K23" s="2">
        <f t="shared" si="3"/>
        <v>35571.1824</v>
      </c>
      <c r="L23" s="2">
        <f>D23</f>
        <v>491</v>
      </c>
      <c r="M23" s="20">
        <f t="shared" si="5"/>
        <v>72.4464</v>
      </c>
      <c r="N23" s="60">
        <v>111.57</v>
      </c>
      <c r="O23" s="20">
        <f>G23+H23+N23</f>
        <v>118.24248789346247</v>
      </c>
      <c r="P23" s="65">
        <f t="shared" si="10"/>
        <v>82.3555</v>
      </c>
      <c r="Q23" s="58">
        <v>6616.4</v>
      </c>
      <c r="R23" s="1">
        <f t="shared" si="6"/>
        <v>81630.77160000001</v>
      </c>
      <c r="S23" s="4">
        <f t="shared" si="7"/>
        <v>12.337641557342364</v>
      </c>
    </row>
    <row r="24" spans="1:19" ht="12.75">
      <c r="A24" s="61" t="s">
        <v>49</v>
      </c>
      <c r="B24" s="60">
        <v>294.509</v>
      </c>
      <c r="C24" s="59">
        <v>0</v>
      </c>
      <c r="D24" s="2">
        <f t="shared" si="0"/>
        <v>294.509</v>
      </c>
      <c r="E24" s="59">
        <v>0.0571</v>
      </c>
      <c r="F24" s="20">
        <f t="shared" si="8"/>
        <v>16.8164639</v>
      </c>
      <c r="G24" s="80">
        <f t="shared" si="1"/>
        <v>4.260753692493947</v>
      </c>
      <c r="H24" s="80">
        <v>0</v>
      </c>
      <c r="I24" s="65">
        <f t="shared" si="2"/>
        <v>21.077217592493945</v>
      </c>
      <c r="J24" s="62">
        <v>991.2</v>
      </c>
      <c r="K24" s="2">
        <f t="shared" si="3"/>
        <v>20891.73807768</v>
      </c>
      <c r="L24" s="2">
        <f>D24</f>
        <v>294.509</v>
      </c>
      <c r="M24" s="20">
        <f t="shared" si="5"/>
        <v>70.93751999999999</v>
      </c>
      <c r="N24" s="60">
        <v>21.764</v>
      </c>
      <c r="O24" s="20">
        <f>G24+H24+N24</f>
        <v>26.024753692493945</v>
      </c>
      <c r="P24" s="65">
        <f t="shared" si="10"/>
        <v>4.947536100000001</v>
      </c>
      <c r="Q24" s="58">
        <v>663.9</v>
      </c>
      <c r="R24" s="1">
        <f t="shared" si="6"/>
        <v>4903.997782320001</v>
      </c>
      <c r="S24" s="4">
        <f t="shared" si="7"/>
        <v>7.386651276276549</v>
      </c>
    </row>
    <row r="25" spans="1:19" ht="12.75">
      <c r="A25" s="61" t="s">
        <v>97</v>
      </c>
      <c r="B25" s="60">
        <v>64.079</v>
      </c>
      <c r="C25" s="59">
        <v>59</v>
      </c>
      <c r="D25" s="2">
        <f t="shared" si="0"/>
        <v>123.079</v>
      </c>
      <c r="E25" s="59">
        <v>0.0591</v>
      </c>
      <c r="F25" s="20">
        <f t="shared" si="8"/>
        <v>7.2739689</v>
      </c>
      <c r="G25" s="80">
        <f t="shared" si="1"/>
        <v>0.9270509079903146</v>
      </c>
      <c r="H25" s="80">
        <f>C25*13.47/991.2</f>
        <v>0.8017857142857142</v>
      </c>
      <c r="I25" s="65">
        <f t="shared" si="2"/>
        <v>9.002805522276029</v>
      </c>
      <c r="J25" s="62">
        <v>991.2</v>
      </c>
      <c r="K25" s="2">
        <f t="shared" si="3"/>
        <v>8923.58083368</v>
      </c>
      <c r="L25" s="2">
        <f>D25</f>
        <v>123.079</v>
      </c>
      <c r="M25" s="20">
        <f t="shared" si="5"/>
        <v>72.50287078770546</v>
      </c>
      <c r="N25" s="60">
        <v>58.97</v>
      </c>
      <c r="O25" s="20">
        <f>G25+H25+N25</f>
        <v>60.698836622276026</v>
      </c>
      <c r="P25" s="65">
        <f>O25-I25</f>
        <v>51.6960311</v>
      </c>
      <c r="Q25" s="58">
        <v>2905.2</v>
      </c>
      <c r="R25" s="1">
        <f t="shared" si="6"/>
        <v>51241.10602632</v>
      </c>
      <c r="S25" s="4">
        <f t="shared" si="7"/>
        <v>17.637720647914087</v>
      </c>
    </row>
    <row r="26" spans="1:19" ht="12.75">
      <c r="A26" s="73" t="s">
        <v>17</v>
      </c>
      <c r="B26" s="74">
        <f>SUM(B5:B25)</f>
        <v>7706.033999999999</v>
      </c>
      <c r="C26" s="74">
        <f>SUM(C6:C25)</f>
        <v>2161</v>
      </c>
      <c r="D26" s="73">
        <f>SUM(D6:D25)</f>
        <v>9866.034</v>
      </c>
      <c r="E26" s="74"/>
      <c r="F26" s="75">
        <f>SUM(F6:F25)</f>
        <v>581.0459040000001</v>
      </c>
      <c r="G26" s="81">
        <f>SUM(G6:G25)</f>
        <v>111.47113353510895</v>
      </c>
      <c r="H26" s="81">
        <f>SUM(H6:H25)</f>
        <v>29.367100484261503</v>
      </c>
      <c r="I26" s="76">
        <f>SUM(I6:I25)</f>
        <v>721.8841380193705</v>
      </c>
      <c r="J26" s="82">
        <v>991.2</v>
      </c>
      <c r="K26" s="73">
        <f>SUM(K6:K24)</f>
        <v>706688.5381219647</v>
      </c>
      <c r="L26" s="73">
        <f>SUM(L6:L25)</f>
        <v>9866.034</v>
      </c>
      <c r="M26" s="75">
        <f t="shared" si="5"/>
        <v>71.62843125433834</v>
      </c>
      <c r="N26" s="77">
        <f>SUM(N6:N25)</f>
        <v>2681.065</v>
      </c>
      <c r="O26" s="75">
        <f>SUM(SUM(O6:O25))</f>
        <v>2821.9032340193703</v>
      </c>
      <c r="P26" s="76">
        <f>SUM(P6:P25)</f>
        <v>2100.0190959999995</v>
      </c>
      <c r="Q26" s="83">
        <f>Q6+Q7+Q8+Q9+Q10+Q11+Q12+Q13+Q14+Q15+Q16+Q17+Q18+Q19+Q20+Q21+Q22+Q23</f>
        <v>105007.7</v>
      </c>
      <c r="R26" s="78">
        <f t="shared" si="6"/>
        <v>2081538.9279551997</v>
      </c>
      <c r="S26" s="79">
        <f t="shared" si="7"/>
        <v>19.822726599622694</v>
      </c>
    </row>
    <row r="27" spans="4:14" ht="12.75">
      <c r="D27" s="14"/>
      <c r="E27" s="14"/>
      <c r="F27" s="14"/>
      <c r="G27" s="14"/>
      <c r="H27" s="251"/>
      <c r="I27" s="251"/>
      <c r="J27" s="251"/>
      <c r="K27" s="14"/>
      <c r="L27" s="14"/>
      <c r="M27" s="56"/>
      <c r="N27" s="56"/>
    </row>
    <row r="28" ht="12.75">
      <c r="P28" t="s">
        <v>46</v>
      </c>
    </row>
    <row r="29" spans="2:15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2" ht="12.75">
      <c r="A31" s="5" t="s">
        <v>41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4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5"/>
      <c r="N32" s="10"/>
    </row>
    <row r="33" spans="1:14" ht="12.75">
      <c r="A33" t="s">
        <v>39</v>
      </c>
      <c r="G33" s="5"/>
      <c r="M33" s="5"/>
      <c r="N33" s="10"/>
    </row>
    <row r="34" spans="13:14" ht="12.75">
      <c r="M34" s="5"/>
      <c r="N34" s="10"/>
    </row>
    <row r="35" spans="1:14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0"/>
    </row>
    <row r="36" spans="1:1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0"/>
    </row>
  </sheetData>
  <mergeCells count="21">
    <mergeCell ref="E3:E4"/>
    <mergeCell ref="F3:F4"/>
    <mergeCell ref="G3:G4"/>
    <mergeCell ref="A3:A4"/>
    <mergeCell ref="B3:B4"/>
    <mergeCell ref="C3:C4"/>
    <mergeCell ref="D3:D4"/>
    <mergeCell ref="Q3:Q4"/>
    <mergeCell ref="K3:K4"/>
    <mergeCell ref="L3:L4"/>
    <mergeCell ref="H1:I1"/>
    <mergeCell ref="R3:R4"/>
    <mergeCell ref="H3:H4"/>
    <mergeCell ref="S3:S4"/>
    <mergeCell ref="H27:J27"/>
    <mergeCell ref="M3:M4"/>
    <mergeCell ref="N3:N4"/>
    <mergeCell ref="O3:O4"/>
    <mergeCell ref="P3:P4"/>
    <mergeCell ref="I3:I4"/>
    <mergeCell ref="J3:J4"/>
  </mergeCells>
  <printOptions/>
  <pageMargins left="0.2755905511811024" right="0.275590551181102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A25" sqref="A25:T25"/>
    </sheetView>
  </sheetViews>
  <sheetFormatPr defaultColWidth="9.00390625" defaultRowHeight="12.75"/>
  <cols>
    <col min="1" max="1" width="16.625" style="0" customWidth="1"/>
    <col min="2" max="2" width="9.00390625" style="0" customWidth="1"/>
    <col min="3" max="3" width="5.125" style="0" customWidth="1"/>
    <col min="4" max="4" width="8.875" style="0" customWidth="1"/>
    <col min="5" max="5" width="6.75390625" style="0" customWidth="1"/>
    <col min="6" max="7" width="6.375" style="0" customWidth="1"/>
    <col min="8" max="8" width="6.00390625" style="0" customWidth="1"/>
    <col min="9" max="9" width="6.875" style="0" customWidth="1"/>
    <col min="10" max="10" width="6.375" style="0" customWidth="1"/>
    <col min="11" max="11" width="7.875" style="0" customWidth="1"/>
    <col min="12" max="12" width="8.00390625" style="0" customWidth="1"/>
    <col min="13" max="13" width="6.25390625" style="0" customWidth="1"/>
    <col min="14" max="16" width="7.625" style="0" customWidth="1"/>
    <col min="17" max="17" width="7.125" style="0" customWidth="1"/>
    <col min="19" max="19" width="6.875" style="3" customWidth="1"/>
  </cols>
  <sheetData>
    <row r="1" spans="1:19" ht="55.5" customHeight="1">
      <c r="A1" s="63" t="s">
        <v>136</v>
      </c>
      <c r="B1" s="63"/>
      <c r="C1" s="63"/>
      <c r="D1" s="63"/>
      <c r="E1" s="63"/>
      <c r="F1" s="64"/>
      <c r="G1" s="16"/>
      <c r="H1" s="279" t="s">
        <v>139</v>
      </c>
      <c r="I1" s="279"/>
      <c r="J1" s="15">
        <v>2014</v>
      </c>
      <c r="K1" s="16"/>
      <c r="L1" s="16" t="s">
        <v>120</v>
      </c>
      <c r="M1" s="16"/>
      <c r="N1" s="16"/>
      <c r="O1" s="16"/>
      <c r="P1" s="16"/>
      <c r="Q1" s="16" t="s">
        <v>119</v>
      </c>
      <c r="R1" s="16"/>
      <c r="S1" s="16"/>
    </row>
    <row r="2" spans="1:1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5"/>
      <c r="N2" s="55"/>
      <c r="O2" s="17"/>
    </row>
    <row r="3" spans="1:19" ht="25.5" customHeight="1">
      <c r="A3" s="252" t="s">
        <v>116</v>
      </c>
      <c r="B3" s="270" t="s">
        <v>126</v>
      </c>
      <c r="C3" s="270" t="s">
        <v>127</v>
      </c>
      <c r="D3" s="272" t="s">
        <v>104</v>
      </c>
      <c r="E3" s="270" t="s">
        <v>100</v>
      </c>
      <c r="F3" s="272" t="s">
        <v>128</v>
      </c>
      <c r="G3" s="268" t="s">
        <v>140</v>
      </c>
      <c r="H3" s="268" t="s">
        <v>131</v>
      </c>
      <c r="I3" s="276" t="s">
        <v>132</v>
      </c>
      <c r="J3" s="278" t="s">
        <v>109</v>
      </c>
      <c r="K3" s="272" t="s">
        <v>124</v>
      </c>
      <c r="L3" s="272" t="s">
        <v>129</v>
      </c>
      <c r="M3" s="241" t="s">
        <v>125</v>
      </c>
      <c r="N3" s="270" t="s">
        <v>133</v>
      </c>
      <c r="O3" s="272" t="s">
        <v>134</v>
      </c>
      <c r="P3" s="274" t="s">
        <v>135</v>
      </c>
      <c r="Q3" s="278" t="s">
        <v>123</v>
      </c>
      <c r="R3" s="266" t="s">
        <v>115</v>
      </c>
      <c r="S3" s="243" t="s">
        <v>117</v>
      </c>
    </row>
    <row r="4" spans="1:19" ht="70.5" customHeight="1">
      <c r="A4" s="253"/>
      <c r="B4" s="271"/>
      <c r="C4" s="271"/>
      <c r="D4" s="273"/>
      <c r="E4" s="271"/>
      <c r="F4" s="273"/>
      <c r="G4" s="242"/>
      <c r="H4" s="242"/>
      <c r="I4" s="277"/>
      <c r="J4" s="242"/>
      <c r="K4" s="273"/>
      <c r="L4" s="273"/>
      <c r="M4" s="269"/>
      <c r="N4" s="271"/>
      <c r="O4" s="273"/>
      <c r="P4" s="275"/>
      <c r="Q4" s="242"/>
      <c r="R4" s="267"/>
      <c r="S4" s="240"/>
    </row>
    <row r="5" spans="1:19" s="72" customFormat="1" ht="10.5" customHeight="1">
      <c r="A5" s="68"/>
      <c r="B5" s="69">
        <v>1</v>
      </c>
      <c r="C5" s="69">
        <v>2</v>
      </c>
      <c r="D5" s="68">
        <v>3</v>
      </c>
      <c r="E5" s="69">
        <v>4</v>
      </c>
      <c r="F5" s="68">
        <v>5</v>
      </c>
      <c r="G5" s="70">
        <v>6</v>
      </c>
      <c r="H5" s="70">
        <v>7</v>
      </c>
      <c r="I5" s="68">
        <v>8</v>
      </c>
      <c r="J5" s="70">
        <v>9</v>
      </c>
      <c r="K5" s="68">
        <v>10</v>
      </c>
      <c r="L5" s="68">
        <v>11</v>
      </c>
      <c r="M5" s="68">
        <v>12</v>
      </c>
      <c r="N5" s="69">
        <v>13</v>
      </c>
      <c r="O5" s="68">
        <v>14</v>
      </c>
      <c r="P5" s="68">
        <v>15</v>
      </c>
      <c r="Q5" s="70">
        <v>16</v>
      </c>
      <c r="R5" s="68">
        <v>17</v>
      </c>
      <c r="S5" s="71">
        <v>18</v>
      </c>
    </row>
    <row r="6" spans="1:20" ht="12.75">
      <c r="A6" s="61" t="s">
        <v>0</v>
      </c>
      <c r="B6" s="85">
        <v>461.964</v>
      </c>
      <c r="C6" s="59">
        <v>80</v>
      </c>
      <c r="D6" s="2">
        <f aca="true" t="shared" si="0" ref="D6:D25">B6+C6</f>
        <v>541.9639999999999</v>
      </c>
      <c r="E6" s="67">
        <v>0.05553</v>
      </c>
      <c r="F6" s="20">
        <f aca="true" t="shared" si="1" ref="F6:F25">D6*E6</f>
        <v>30.095260919999998</v>
      </c>
      <c r="G6" s="80">
        <f aca="true" t="shared" si="2" ref="G6:G25">B6*14.34/991.2</f>
        <v>6.683377481840194</v>
      </c>
      <c r="H6" s="80">
        <f>C6*13.46/991.2</f>
        <v>1.0863599677159002</v>
      </c>
      <c r="I6" s="65">
        <f aca="true" t="shared" si="3" ref="I6:I25">F6+G6+H6</f>
        <v>37.86499836955609</v>
      </c>
      <c r="J6" s="62">
        <v>991.2</v>
      </c>
      <c r="K6" s="2">
        <f aca="true" t="shared" si="4" ref="K6:K25">I6*J6</f>
        <v>37531.786383904</v>
      </c>
      <c r="L6" s="53">
        <f aca="true" t="shared" si="5" ref="L6:L25">D6</f>
        <v>541.9639999999999</v>
      </c>
      <c r="M6" s="20">
        <f aca="true" t="shared" si="6" ref="M6:M26">K6/L6</f>
        <v>69.25143807320045</v>
      </c>
      <c r="N6" s="85">
        <v>59.294</v>
      </c>
      <c r="O6" s="20">
        <f aca="true" t="shared" si="7" ref="O6:O25">G6+H6+N6</f>
        <v>67.06373744955609</v>
      </c>
      <c r="P6" s="65">
        <f aca="true" t="shared" si="8" ref="P6:P25">O6-I6</f>
        <v>29.198739079999996</v>
      </c>
      <c r="Q6" s="58">
        <v>9290.5</v>
      </c>
      <c r="R6" s="1">
        <f aca="true" t="shared" si="9" ref="R6:R26">P6*J6</f>
        <v>28941.790176095998</v>
      </c>
      <c r="S6" s="4">
        <f aca="true" t="shared" si="10" ref="S6:S26">R6/Q6</f>
        <v>3.1152026452931487</v>
      </c>
      <c r="T6" s="3">
        <f>O6*J6/D6</f>
        <v>122.65312190477597</v>
      </c>
    </row>
    <row r="7" spans="1:20" ht="12.75">
      <c r="A7" s="61" t="s">
        <v>1</v>
      </c>
      <c r="B7" s="85">
        <v>12.807</v>
      </c>
      <c r="C7" s="59">
        <v>780</v>
      </c>
      <c r="D7" s="2">
        <f t="shared" si="0"/>
        <v>792.807</v>
      </c>
      <c r="E7" s="59">
        <v>0.05264</v>
      </c>
      <c r="F7" s="20">
        <f t="shared" si="1"/>
        <v>41.73336048</v>
      </c>
      <c r="G7" s="80">
        <f t="shared" si="2"/>
        <v>0.18528286924939466</v>
      </c>
      <c r="H7" s="80">
        <f aca="true" t="shared" si="11" ref="H7:H25">C7*13.46/991.2</f>
        <v>10.592009685230025</v>
      </c>
      <c r="I7" s="65">
        <f t="shared" si="3"/>
        <v>52.51065303447942</v>
      </c>
      <c r="J7" s="62">
        <v>991.2</v>
      </c>
      <c r="K7" s="2">
        <f t="shared" si="4"/>
        <v>52048.559287776</v>
      </c>
      <c r="L7" s="53">
        <f t="shared" si="5"/>
        <v>792.807</v>
      </c>
      <c r="M7" s="20">
        <f t="shared" si="6"/>
        <v>65.6509835152515</v>
      </c>
      <c r="N7" s="85">
        <v>81.109</v>
      </c>
      <c r="O7" s="20">
        <f t="shared" si="7"/>
        <v>91.88629255447941</v>
      </c>
      <c r="P7" s="65">
        <f t="shared" si="8"/>
        <v>39.37563951999999</v>
      </c>
      <c r="Q7" s="58">
        <v>9725.3</v>
      </c>
      <c r="R7" s="1">
        <f t="shared" si="9"/>
        <v>39029.133892223996</v>
      </c>
      <c r="S7" s="4">
        <f t="shared" si="10"/>
        <v>4.0131547502106875</v>
      </c>
      <c r="T7" s="3">
        <f aca="true" t="shared" si="12" ref="T7:T26">O7*J7/D7</f>
        <v>114.88003155875263</v>
      </c>
    </row>
    <row r="8" spans="1:20" ht="12.75">
      <c r="A8" s="61" t="s">
        <v>2</v>
      </c>
      <c r="B8" s="85">
        <v>6.745</v>
      </c>
      <c r="C8" s="59">
        <v>488</v>
      </c>
      <c r="D8" s="2">
        <f t="shared" si="0"/>
        <v>494.745</v>
      </c>
      <c r="E8" s="59">
        <v>0.05605</v>
      </c>
      <c r="F8" s="20">
        <f t="shared" si="1"/>
        <v>27.73045725</v>
      </c>
      <c r="G8" s="80">
        <f t="shared" si="2"/>
        <v>0.09758202179176755</v>
      </c>
      <c r="H8" s="80">
        <f t="shared" si="11"/>
        <v>6.626795803066989</v>
      </c>
      <c r="I8" s="65">
        <f t="shared" si="3"/>
        <v>34.45483507485876</v>
      </c>
      <c r="J8" s="62">
        <v>991.2</v>
      </c>
      <c r="K8" s="2">
        <f t="shared" si="4"/>
        <v>34151.6325262</v>
      </c>
      <c r="L8" s="53">
        <f t="shared" si="5"/>
        <v>494.745</v>
      </c>
      <c r="M8" s="20">
        <f t="shared" si="6"/>
        <v>69.02875729153402</v>
      </c>
      <c r="N8" s="85">
        <v>50.07</v>
      </c>
      <c r="O8" s="20">
        <f t="shared" si="7"/>
        <v>56.794377824858756</v>
      </c>
      <c r="P8" s="65">
        <f t="shared" si="8"/>
        <v>22.33954275</v>
      </c>
      <c r="Q8" s="58">
        <v>6610</v>
      </c>
      <c r="R8" s="1">
        <f t="shared" si="9"/>
        <v>22142.9547738</v>
      </c>
      <c r="S8" s="4">
        <f t="shared" si="10"/>
        <v>3.34991751494705</v>
      </c>
      <c r="T8" s="3">
        <f t="shared" si="12"/>
        <v>113.78505553365875</v>
      </c>
    </row>
    <row r="9" spans="1:20" ht="12.75">
      <c r="A9" s="61" t="s">
        <v>3</v>
      </c>
      <c r="B9" s="85">
        <v>530.009</v>
      </c>
      <c r="C9" s="59">
        <v>0</v>
      </c>
      <c r="D9" s="2">
        <f t="shared" si="0"/>
        <v>530.009</v>
      </c>
      <c r="E9" s="59">
        <v>0.04394</v>
      </c>
      <c r="F9" s="20">
        <f t="shared" si="1"/>
        <v>23.28859546</v>
      </c>
      <c r="G9" s="80">
        <f t="shared" si="2"/>
        <v>7.667805750605327</v>
      </c>
      <c r="H9" s="80">
        <f t="shared" si="11"/>
        <v>0</v>
      </c>
      <c r="I9" s="65">
        <f t="shared" si="3"/>
        <v>30.95640121060533</v>
      </c>
      <c r="J9" s="62">
        <v>991.2</v>
      </c>
      <c r="K9" s="2">
        <f t="shared" si="4"/>
        <v>30683.984879952004</v>
      </c>
      <c r="L9" s="53">
        <f t="shared" si="5"/>
        <v>530.009</v>
      </c>
      <c r="M9" s="20">
        <f t="shared" si="6"/>
        <v>57.893328000000004</v>
      </c>
      <c r="N9" s="85">
        <v>43.859</v>
      </c>
      <c r="O9" s="20">
        <f t="shared" si="7"/>
        <v>51.52680575060533</v>
      </c>
      <c r="P9" s="65">
        <f t="shared" si="8"/>
        <v>20.57040454</v>
      </c>
      <c r="Q9" s="58">
        <v>6343.9</v>
      </c>
      <c r="R9" s="1">
        <f t="shared" si="9"/>
        <v>20389.384980048</v>
      </c>
      <c r="S9" s="4">
        <f t="shared" si="10"/>
        <v>3.214014246764293</v>
      </c>
      <c r="T9" s="3">
        <f t="shared" si="12"/>
        <v>96.36321243601523</v>
      </c>
    </row>
    <row r="10" spans="1:20" ht="12.75">
      <c r="A10" s="61" t="s">
        <v>4</v>
      </c>
      <c r="B10" s="85">
        <v>551.164</v>
      </c>
      <c r="C10" s="59">
        <v>0</v>
      </c>
      <c r="D10" s="2">
        <f t="shared" si="0"/>
        <v>551.164</v>
      </c>
      <c r="E10" s="59">
        <v>0.05405</v>
      </c>
      <c r="F10" s="20">
        <f t="shared" si="1"/>
        <v>29.7904142</v>
      </c>
      <c r="G10" s="80">
        <f t="shared" si="2"/>
        <v>7.973861743341404</v>
      </c>
      <c r="H10" s="80">
        <f t="shared" si="11"/>
        <v>0</v>
      </c>
      <c r="I10" s="65">
        <f t="shared" si="3"/>
        <v>37.7642759433414</v>
      </c>
      <c r="J10" s="62">
        <v>991.2</v>
      </c>
      <c r="K10" s="2">
        <f t="shared" si="4"/>
        <v>37431.95031504</v>
      </c>
      <c r="L10" s="53">
        <f t="shared" si="5"/>
        <v>551.164</v>
      </c>
      <c r="M10" s="20">
        <f t="shared" si="6"/>
        <v>67.91436</v>
      </c>
      <c r="N10" s="85">
        <v>46.495</v>
      </c>
      <c r="O10" s="20">
        <f t="shared" si="7"/>
        <v>54.4688617433414</v>
      </c>
      <c r="P10" s="65">
        <f t="shared" si="8"/>
        <v>16.704585799999997</v>
      </c>
      <c r="Q10" s="58">
        <v>5989.7</v>
      </c>
      <c r="R10" s="1">
        <f t="shared" si="9"/>
        <v>16557.585444959997</v>
      </c>
      <c r="S10" s="4">
        <f t="shared" si="10"/>
        <v>2.764343029694308</v>
      </c>
      <c r="T10" s="3">
        <f t="shared" si="12"/>
        <v>97.95548286898274</v>
      </c>
    </row>
    <row r="11" spans="1:20" ht="12.75">
      <c r="A11" s="61" t="s">
        <v>5</v>
      </c>
      <c r="B11" s="85">
        <v>556.438</v>
      </c>
      <c r="C11" s="59">
        <v>0</v>
      </c>
      <c r="D11" s="2">
        <f t="shared" si="0"/>
        <v>556.438</v>
      </c>
      <c r="E11" s="59">
        <v>0.05612</v>
      </c>
      <c r="F11" s="20">
        <f t="shared" si="1"/>
        <v>31.22730056</v>
      </c>
      <c r="G11" s="80">
        <f t="shared" si="2"/>
        <v>8.05016234866828</v>
      </c>
      <c r="H11" s="80">
        <f t="shared" si="11"/>
        <v>0</v>
      </c>
      <c r="I11" s="65">
        <f t="shared" si="3"/>
        <v>39.277462908668284</v>
      </c>
      <c r="J11" s="62">
        <v>991.2</v>
      </c>
      <c r="K11" s="2">
        <f t="shared" si="4"/>
        <v>38931.821235072006</v>
      </c>
      <c r="L11" s="53">
        <f t="shared" si="5"/>
        <v>556.438</v>
      </c>
      <c r="M11" s="20">
        <f t="shared" si="6"/>
        <v>69.96614400000001</v>
      </c>
      <c r="N11" s="85">
        <v>57.023</v>
      </c>
      <c r="O11" s="20">
        <f t="shared" si="7"/>
        <v>65.07316234866829</v>
      </c>
      <c r="P11" s="65">
        <f t="shared" si="8"/>
        <v>25.795699440000007</v>
      </c>
      <c r="Q11" s="58">
        <v>5514.4</v>
      </c>
      <c r="R11" s="1">
        <f t="shared" si="9"/>
        <v>25568.697284928006</v>
      </c>
      <c r="S11" s="4">
        <f t="shared" si="10"/>
        <v>4.6367142907529395</v>
      </c>
      <c r="T11" s="3">
        <f t="shared" si="12"/>
        <v>115.91681107329121</v>
      </c>
    </row>
    <row r="12" spans="1:20" ht="12.75">
      <c r="A12" s="61" t="s">
        <v>6</v>
      </c>
      <c r="B12" s="85">
        <v>226.794</v>
      </c>
      <c r="C12" s="59">
        <v>0</v>
      </c>
      <c r="D12" s="2">
        <f t="shared" si="0"/>
        <v>226.794</v>
      </c>
      <c r="E12" s="59">
        <v>0.05399</v>
      </c>
      <c r="F12" s="20">
        <f t="shared" si="1"/>
        <v>12.244608060000001</v>
      </c>
      <c r="G12" s="80">
        <f t="shared" si="2"/>
        <v>3.2810996368038743</v>
      </c>
      <c r="H12" s="80">
        <f t="shared" si="11"/>
        <v>0</v>
      </c>
      <c r="I12" s="65">
        <f t="shared" si="3"/>
        <v>15.525707696803876</v>
      </c>
      <c r="J12" s="62">
        <v>991.2</v>
      </c>
      <c r="K12" s="2">
        <f t="shared" si="4"/>
        <v>15389.081469072002</v>
      </c>
      <c r="L12" s="53">
        <f t="shared" si="5"/>
        <v>226.794</v>
      </c>
      <c r="M12" s="20">
        <f t="shared" si="6"/>
        <v>67.854888</v>
      </c>
      <c r="N12" s="85">
        <v>30.463</v>
      </c>
      <c r="O12" s="20">
        <f t="shared" si="7"/>
        <v>33.744099636803874</v>
      </c>
      <c r="P12" s="65">
        <f t="shared" si="8"/>
        <v>18.218391939999997</v>
      </c>
      <c r="Q12" s="58">
        <v>7253</v>
      </c>
      <c r="R12" s="1">
        <f t="shared" si="9"/>
        <v>18058.070090928</v>
      </c>
      <c r="S12" s="4">
        <f t="shared" si="10"/>
        <v>2.4897380519685646</v>
      </c>
      <c r="T12" s="3">
        <f t="shared" si="12"/>
        <v>147.47811476494087</v>
      </c>
    </row>
    <row r="13" spans="1:20" ht="12.75">
      <c r="A13" s="61" t="s">
        <v>7</v>
      </c>
      <c r="B13" s="85">
        <v>0</v>
      </c>
      <c r="C13" s="59">
        <v>0</v>
      </c>
      <c r="D13" s="2">
        <f t="shared" si="0"/>
        <v>0</v>
      </c>
      <c r="E13" s="59">
        <v>0.02755</v>
      </c>
      <c r="F13" s="20">
        <f t="shared" si="1"/>
        <v>0</v>
      </c>
      <c r="G13" s="80">
        <f t="shared" si="2"/>
        <v>0</v>
      </c>
      <c r="H13" s="80">
        <f t="shared" si="11"/>
        <v>0</v>
      </c>
      <c r="I13" s="65">
        <f t="shared" si="3"/>
        <v>0</v>
      </c>
      <c r="J13" s="84">
        <v>1590.78</v>
      </c>
      <c r="K13" s="2">
        <f t="shared" si="4"/>
        <v>0</v>
      </c>
      <c r="L13" s="53">
        <f t="shared" si="5"/>
        <v>0</v>
      </c>
      <c r="M13" s="20" t="e">
        <f t="shared" si="6"/>
        <v>#DIV/0!</v>
      </c>
      <c r="N13" s="85">
        <v>0</v>
      </c>
      <c r="O13" s="20">
        <f t="shared" si="7"/>
        <v>0</v>
      </c>
      <c r="P13" s="65">
        <f t="shared" si="8"/>
        <v>0</v>
      </c>
      <c r="Q13" s="58">
        <v>760.9</v>
      </c>
      <c r="R13" s="1">
        <f t="shared" si="9"/>
        <v>0</v>
      </c>
      <c r="S13" s="4">
        <f t="shared" si="10"/>
        <v>0</v>
      </c>
      <c r="T13" s="3" t="e">
        <f t="shared" si="12"/>
        <v>#DIV/0!</v>
      </c>
    </row>
    <row r="14" spans="1:20" ht="12.75">
      <c r="A14" s="61" t="s">
        <v>8</v>
      </c>
      <c r="B14" s="85">
        <v>397.966</v>
      </c>
      <c r="C14" s="59">
        <v>0</v>
      </c>
      <c r="D14" s="2">
        <f t="shared" si="0"/>
        <v>397.966</v>
      </c>
      <c r="E14" s="59">
        <v>0.05527</v>
      </c>
      <c r="F14" s="20">
        <f t="shared" si="1"/>
        <v>21.99558082</v>
      </c>
      <c r="G14" s="80">
        <f t="shared" si="2"/>
        <v>5.7574984261501205</v>
      </c>
      <c r="H14" s="80">
        <f t="shared" si="11"/>
        <v>0</v>
      </c>
      <c r="I14" s="65">
        <f t="shared" si="3"/>
        <v>27.753079246150122</v>
      </c>
      <c r="J14" s="62">
        <v>991.2</v>
      </c>
      <c r="K14" s="2">
        <f t="shared" si="4"/>
        <v>27508.852148784</v>
      </c>
      <c r="L14" s="53">
        <f t="shared" si="5"/>
        <v>397.966</v>
      </c>
      <c r="M14" s="20">
        <f t="shared" si="6"/>
        <v>69.123624</v>
      </c>
      <c r="N14" s="85">
        <v>37.47</v>
      </c>
      <c r="O14" s="20">
        <f t="shared" si="7"/>
        <v>43.22749842615012</v>
      </c>
      <c r="P14" s="65">
        <f t="shared" si="8"/>
        <v>15.474419179999998</v>
      </c>
      <c r="Q14" s="58">
        <v>3718.8</v>
      </c>
      <c r="R14" s="1">
        <f t="shared" si="9"/>
        <v>15338.244291215999</v>
      </c>
      <c r="S14" s="4">
        <f t="shared" si="10"/>
        <v>4.124514437779928</v>
      </c>
      <c r="T14" s="3">
        <f t="shared" si="12"/>
        <v>107.66521873727906</v>
      </c>
    </row>
    <row r="15" spans="1:20" ht="12.75">
      <c r="A15" s="61" t="s">
        <v>9</v>
      </c>
      <c r="B15" s="85">
        <v>887.54</v>
      </c>
      <c r="C15" s="59">
        <v>0</v>
      </c>
      <c r="D15" s="2">
        <f t="shared" si="0"/>
        <v>887.54</v>
      </c>
      <c r="E15" s="59">
        <f>0.05612</f>
        <v>0.05612</v>
      </c>
      <c r="F15" s="20">
        <f t="shared" si="1"/>
        <v>49.8087448</v>
      </c>
      <c r="G15" s="80">
        <f t="shared" si="2"/>
        <v>12.840318401937045</v>
      </c>
      <c r="H15" s="80">
        <f t="shared" si="11"/>
        <v>0</v>
      </c>
      <c r="I15" s="65">
        <f t="shared" si="3"/>
        <v>62.64906320193705</v>
      </c>
      <c r="J15" s="62">
        <v>991.2</v>
      </c>
      <c r="K15" s="2">
        <f t="shared" si="4"/>
        <v>62097.751445760005</v>
      </c>
      <c r="L15" s="53">
        <f t="shared" si="5"/>
        <v>887.54</v>
      </c>
      <c r="M15" s="20">
        <f t="shared" si="6"/>
        <v>69.96614400000001</v>
      </c>
      <c r="N15" s="85">
        <v>91.24</v>
      </c>
      <c r="O15" s="20">
        <f t="shared" si="7"/>
        <v>104.08031840193703</v>
      </c>
      <c r="P15" s="65">
        <f t="shared" si="8"/>
        <v>41.43125519999999</v>
      </c>
      <c r="Q15" s="58">
        <v>9274.6</v>
      </c>
      <c r="R15" s="1">
        <f t="shared" si="9"/>
        <v>41066.66015423999</v>
      </c>
      <c r="S15" s="4">
        <f t="shared" si="10"/>
        <v>4.427863212886808</v>
      </c>
      <c r="T15" s="3">
        <f t="shared" si="12"/>
        <v>116.23635171372557</v>
      </c>
    </row>
    <row r="16" spans="1:20" ht="12.75">
      <c r="A16" s="61" t="s">
        <v>10</v>
      </c>
      <c r="B16" s="85">
        <v>539.738</v>
      </c>
      <c r="C16" s="59">
        <v>0</v>
      </c>
      <c r="D16" s="2">
        <f t="shared" si="0"/>
        <v>539.738</v>
      </c>
      <c r="E16" s="59">
        <v>0.05518</v>
      </c>
      <c r="F16" s="20">
        <f t="shared" si="1"/>
        <v>29.782742840000004</v>
      </c>
      <c r="G16" s="80">
        <f t="shared" si="2"/>
        <v>7.808558232445521</v>
      </c>
      <c r="H16" s="80">
        <f t="shared" si="11"/>
        <v>0</v>
      </c>
      <c r="I16" s="65">
        <f t="shared" si="3"/>
        <v>37.591301072445525</v>
      </c>
      <c r="J16" s="62">
        <v>991.2</v>
      </c>
      <c r="K16" s="2">
        <f t="shared" si="4"/>
        <v>37260.49762300801</v>
      </c>
      <c r="L16" s="53">
        <f t="shared" si="5"/>
        <v>539.738</v>
      </c>
      <c r="M16" s="20">
        <f t="shared" si="6"/>
        <v>69.03441600000001</v>
      </c>
      <c r="N16" s="85">
        <v>40.261</v>
      </c>
      <c r="O16" s="20">
        <f t="shared" si="7"/>
        <v>48.06955823244552</v>
      </c>
      <c r="P16" s="65">
        <f t="shared" si="8"/>
        <v>10.478257159999998</v>
      </c>
      <c r="Q16" s="58">
        <v>5981.3</v>
      </c>
      <c r="R16" s="1">
        <f t="shared" si="9"/>
        <v>10386.048496991998</v>
      </c>
      <c r="S16" s="4">
        <f t="shared" si="10"/>
        <v>1.736419924931369</v>
      </c>
      <c r="T16" s="3">
        <f t="shared" si="12"/>
        <v>88.27717544438228</v>
      </c>
    </row>
    <row r="17" spans="1:20" ht="12.75">
      <c r="A17" s="61" t="s">
        <v>11</v>
      </c>
      <c r="B17" s="85">
        <v>402.637</v>
      </c>
      <c r="C17" s="59">
        <v>0</v>
      </c>
      <c r="D17" s="2">
        <f t="shared" si="0"/>
        <v>402.637</v>
      </c>
      <c r="E17" s="59">
        <v>0.0525</v>
      </c>
      <c r="F17" s="20">
        <f t="shared" si="1"/>
        <v>21.1384425</v>
      </c>
      <c r="G17" s="80">
        <f t="shared" si="2"/>
        <v>5.82507524213075</v>
      </c>
      <c r="H17" s="80">
        <f t="shared" si="11"/>
        <v>0</v>
      </c>
      <c r="I17" s="65">
        <f t="shared" si="3"/>
        <v>26.96351774213075</v>
      </c>
      <c r="J17" s="62">
        <v>991.2</v>
      </c>
      <c r="K17" s="2">
        <f t="shared" si="4"/>
        <v>26726.238786</v>
      </c>
      <c r="L17" s="53">
        <f t="shared" si="5"/>
        <v>402.637</v>
      </c>
      <c r="M17" s="20">
        <f t="shared" si="6"/>
        <v>66.378</v>
      </c>
      <c r="N17" s="85">
        <v>22.437</v>
      </c>
      <c r="O17" s="20">
        <f t="shared" si="7"/>
        <v>28.262075242130752</v>
      </c>
      <c r="P17" s="65">
        <f t="shared" si="8"/>
        <v>1.2985575000000011</v>
      </c>
      <c r="Q17" s="58">
        <v>3323</v>
      </c>
      <c r="R17" s="1">
        <f t="shared" si="9"/>
        <v>1287.1301940000012</v>
      </c>
      <c r="S17" s="4">
        <f t="shared" si="10"/>
        <v>0.38733981161601</v>
      </c>
      <c r="T17" s="3">
        <f t="shared" si="12"/>
        <v>69.57475090466103</v>
      </c>
    </row>
    <row r="18" spans="1:20" ht="12.75">
      <c r="A18" s="61" t="s">
        <v>12</v>
      </c>
      <c r="B18" s="85">
        <v>784.487</v>
      </c>
      <c r="C18" s="59">
        <v>0</v>
      </c>
      <c r="D18" s="2">
        <f t="shared" si="0"/>
        <v>784.487</v>
      </c>
      <c r="E18" s="59">
        <v>0.04719</v>
      </c>
      <c r="F18" s="20">
        <f t="shared" si="1"/>
        <v>37.019941530000004</v>
      </c>
      <c r="G18" s="80">
        <f t="shared" si="2"/>
        <v>11.349418462469732</v>
      </c>
      <c r="H18" s="80">
        <f t="shared" si="11"/>
        <v>0</v>
      </c>
      <c r="I18" s="65">
        <f t="shared" si="3"/>
        <v>48.36935999246974</v>
      </c>
      <c r="J18" s="62">
        <v>991.2</v>
      </c>
      <c r="K18" s="2">
        <f t="shared" si="4"/>
        <v>47943.70962453601</v>
      </c>
      <c r="L18" s="53">
        <f t="shared" si="5"/>
        <v>784.487</v>
      </c>
      <c r="M18" s="20">
        <f t="shared" si="6"/>
        <v>61.114728000000014</v>
      </c>
      <c r="N18" s="85">
        <v>52.272</v>
      </c>
      <c r="O18" s="20">
        <f t="shared" si="7"/>
        <v>63.621418462469734</v>
      </c>
      <c r="P18" s="65">
        <f t="shared" si="8"/>
        <v>15.252058469999994</v>
      </c>
      <c r="Q18" s="58">
        <v>6355.1</v>
      </c>
      <c r="R18" s="1">
        <f t="shared" si="9"/>
        <v>15117.840355463995</v>
      </c>
      <c r="S18" s="4">
        <f t="shared" si="10"/>
        <v>2.3788516869072076</v>
      </c>
      <c r="T18" s="3">
        <f t="shared" si="12"/>
        <v>80.38571700996958</v>
      </c>
    </row>
    <row r="19" spans="1:20" ht="12.75">
      <c r="A19" s="61" t="s">
        <v>13</v>
      </c>
      <c r="B19" s="85">
        <v>873.493</v>
      </c>
      <c r="C19" s="59">
        <v>0</v>
      </c>
      <c r="D19" s="2">
        <f t="shared" si="0"/>
        <v>873.493</v>
      </c>
      <c r="E19" s="59">
        <v>0.04197</v>
      </c>
      <c r="F19" s="20">
        <f t="shared" si="1"/>
        <v>36.66050121</v>
      </c>
      <c r="G19" s="80">
        <f t="shared" si="2"/>
        <v>12.637096065375301</v>
      </c>
      <c r="H19" s="80">
        <f t="shared" si="11"/>
        <v>0</v>
      </c>
      <c r="I19" s="65">
        <f t="shared" si="3"/>
        <v>49.2975972753753</v>
      </c>
      <c r="J19" s="62">
        <v>991.2</v>
      </c>
      <c r="K19" s="2">
        <f t="shared" si="4"/>
        <v>48863.778419352006</v>
      </c>
      <c r="L19" s="53">
        <f t="shared" si="5"/>
        <v>873.493</v>
      </c>
      <c r="M19" s="20">
        <f t="shared" si="6"/>
        <v>55.940664000000005</v>
      </c>
      <c r="N19" s="85">
        <v>43.581</v>
      </c>
      <c r="O19" s="20">
        <f t="shared" si="7"/>
        <v>56.218096065375306</v>
      </c>
      <c r="P19" s="65">
        <f t="shared" si="8"/>
        <v>6.9204987900000035</v>
      </c>
      <c r="Q19" s="58">
        <v>4183.8</v>
      </c>
      <c r="R19" s="1">
        <f t="shared" si="9"/>
        <v>6859.598400648004</v>
      </c>
      <c r="S19" s="4">
        <f t="shared" si="10"/>
        <v>1.639561738287682</v>
      </c>
      <c r="T19" s="3">
        <f t="shared" si="12"/>
        <v>63.79373025313311</v>
      </c>
    </row>
    <row r="20" spans="1:20" ht="12.75">
      <c r="A20" s="61" t="s">
        <v>14</v>
      </c>
      <c r="B20" s="85">
        <v>454.146</v>
      </c>
      <c r="C20" s="59">
        <v>0</v>
      </c>
      <c r="D20" s="2">
        <f t="shared" si="0"/>
        <v>454.146</v>
      </c>
      <c r="E20" s="59">
        <v>0.05129</v>
      </c>
      <c r="F20" s="20">
        <f t="shared" si="1"/>
        <v>23.293148340000002</v>
      </c>
      <c r="G20" s="80">
        <f t="shared" si="2"/>
        <v>6.570272033898305</v>
      </c>
      <c r="H20" s="80">
        <f t="shared" si="11"/>
        <v>0</v>
      </c>
      <c r="I20" s="65">
        <f t="shared" si="3"/>
        <v>29.863420373898308</v>
      </c>
      <c r="J20" s="62">
        <v>991.2</v>
      </c>
      <c r="K20" s="2">
        <f t="shared" si="4"/>
        <v>29600.622274608002</v>
      </c>
      <c r="L20" s="53">
        <f t="shared" si="5"/>
        <v>454.146</v>
      </c>
      <c r="M20" s="20">
        <f t="shared" si="6"/>
        <v>65.178648</v>
      </c>
      <c r="N20" s="85">
        <v>33.555</v>
      </c>
      <c r="O20" s="20">
        <f t="shared" si="7"/>
        <v>40.125272033898305</v>
      </c>
      <c r="P20" s="65">
        <f t="shared" si="8"/>
        <v>10.261851659999998</v>
      </c>
      <c r="Q20" s="58">
        <v>3908.1</v>
      </c>
      <c r="R20" s="1">
        <f t="shared" si="9"/>
        <v>10171.547365391998</v>
      </c>
      <c r="S20" s="4">
        <f t="shared" si="10"/>
        <v>2.6026834946372914</v>
      </c>
      <c r="T20" s="3">
        <f t="shared" si="12"/>
        <v>87.57573476371034</v>
      </c>
    </row>
    <row r="21" spans="1:20" ht="12.75">
      <c r="A21" s="61" t="s">
        <v>15</v>
      </c>
      <c r="B21" s="85">
        <v>497.908</v>
      </c>
      <c r="C21" s="59">
        <v>0</v>
      </c>
      <c r="D21" s="2">
        <f t="shared" si="0"/>
        <v>497.908</v>
      </c>
      <c r="E21" s="59">
        <v>0.05857</v>
      </c>
      <c r="F21" s="20">
        <f t="shared" si="1"/>
        <v>29.16247156</v>
      </c>
      <c r="G21" s="80">
        <f t="shared" si="2"/>
        <v>7.203390556900726</v>
      </c>
      <c r="H21" s="80">
        <f t="shared" si="11"/>
        <v>0</v>
      </c>
      <c r="I21" s="65">
        <f t="shared" si="3"/>
        <v>36.36586211690073</v>
      </c>
      <c r="J21" s="62">
        <v>991.2</v>
      </c>
      <c r="K21" s="2">
        <f t="shared" si="4"/>
        <v>36045.842530272006</v>
      </c>
      <c r="L21" s="53">
        <f t="shared" si="5"/>
        <v>497.908</v>
      </c>
      <c r="M21" s="20">
        <f t="shared" si="6"/>
        <v>72.39458400000001</v>
      </c>
      <c r="N21" s="85">
        <v>62.052</v>
      </c>
      <c r="O21" s="20">
        <f t="shared" si="7"/>
        <v>69.25539055690072</v>
      </c>
      <c r="P21" s="65">
        <f t="shared" si="8"/>
        <v>32.88952843999999</v>
      </c>
      <c r="Q21" s="58">
        <v>5485.5</v>
      </c>
      <c r="R21" s="1">
        <f t="shared" si="9"/>
        <v>32600.100589727994</v>
      </c>
      <c r="S21" s="4">
        <f t="shared" si="10"/>
        <v>5.942958816831282</v>
      </c>
      <c r="T21" s="3">
        <f t="shared" si="12"/>
        <v>137.86872900214496</v>
      </c>
    </row>
    <row r="22" spans="1:20" ht="12.75">
      <c r="A22" s="61" t="s">
        <v>16</v>
      </c>
      <c r="B22" s="85">
        <v>521.352</v>
      </c>
      <c r="C22" s="59">
        <v>0</v>
      </c>
      <c r="D22" s="2">
        <f t="shared" si="0"/>
        <v>521.352</v>
      </c>
      <c r="E22" s="59">
        <v>0.05802</v>
      </c>
      <c r="F22" s="20">
        <f t="shared" si="1"/>
        <v>30.24884304</v>
      </c>
      <c r="G22" s="80">
        <f t="shared" si="2"/>
        <v>7.542562227602906</v>
      </c>
      <c r="H22" s="80">
        <f t="shared" si="11"/>
        <v>0</v>
      </c>
      <c r="I22" s="65">
        <f t="shared" si="3"/>
        <v>37.791405267602904</v>
      </c>
      <c r="J22" s="62">
        <v>991.2</v>
      </c>
      <c r="K22" s="2">
        <f t="shared" si="4"/>
        <v>37458.840901248</v>
      </c>
      <c r="L22" s="53">
        <f t="shared" si="5"/>
        <v>521.352</v>
      </c>
      <c r="M22" s="20">
        <f t="shared" si="6"/>
        <v>71.849424</v>
      </c>
      <c r="N22" s="85">
        <v>48.295</v>
      </c>
      <c r="O22" s="20">
        <f t="shared" si="7"/>
        <v>55.83756222760291</v>
      </c>
      <c r="P22" s="65">
        <f t="shared" si="8"/>
        <v>18.046156960000005</v>
      </c>
      <c r="Q22" s="58">
        <v>4673.4</v>
      </c>
      <c r="R22" s="1">
        <f t="shared" si="9"/>
        <v>17887.350778752007</v>
      </c>
      <c r="S22" s="4">
        <f t="shared" si="10"/>
        <v>3.827481229672617</v>
      </c>
      <c r="T22" s="3">
        <f t="shared" si="12"/>
        <v>106.15897067624178</v>
      </c>
    </row>
    <row r="23" spans="1:20" ht="12.75">
      <c r="A23" s="61" t="s">
        <v>42</v>
      </c>
      <c r="B23" s="85">
        <v>0</v>
      </c>
      <c r="C23" s="59">
        <v>425</v>
      </c>
      <c r="D23" s="2">
        <f t="shared" si="0"/>
        <v>425</v>
      </c>
      <c r="E23" s="59">
        <v>0.05934</v>
      </c>
      <c r="F23" s="20">
        <f t="shared" si="1"/>
        <v>25.2195</v>
      </c>
      <c r="G23" s="80">
        <f t="shared" si="2"/>
        <v>0</v>
      </c>
      <c r="H23" s="80">
        <f t="shared" si="11"/>
        <v>5.771287328490718</v>
      </c>
      <c r="I23" s="65">
        <f t="shared" si="3"/>
        <v>30.99078732849072</v>
      </c>
      <c r="J23" s="62">
        <v>991.2</v>
      </c>
      <c r="K23" s="2">
        <f t="shared" si="4"/>
        <v>30718.0684</v>
      </c>
      <c r="L23" s="53">
        <f t="shared" si="5"/>
        <v>425</v>
      </c>
      <c r="M23" s="20">
        <f t="shared" si="6"/>
        <v>72.277808</v>
      </c>
      <c r="N23" s="85">
        <v>27.81</v>
      </c>
      <c r="O23" s="20">
        <f t="shared" si="7"/>
        <v>33.58128732849072</v>
      </c>
      <c r="P23" s="65">
        <f t="shared" si="8"/>
        <v>2.5904999999999987</v>
      </c>
      <c r="Q23" s="58">
        <v>6616.4</v>
      </c>
      <c r="R23" s="1">
        <f t="shared" si="9"/>
        <v>2567.703599999999</v>
      </c>
      <c r="S23" s="4">
        <f t="shared" si="10"/>
        <v>0.38808167583580183</v>
      </c>
      <c r="T23" s="3">
        <f t="shared" si="12"/>
        <v>78.31946352941176</v>
      </c>
    </row>
    <row r="24" spans="1:20" ht="12.75">
      <c r="A24" s="61" t="s">
        <v>49</v>
      </c>
      <c r="B24" s="85">
        <v>169.196</v>
      </c>
      <c r="C24" s="59">
        <v>0</v>
      </c>
      <c r="D24" s="2">
        <f t="shared" si="0"/>
        <v>169.196</v>
      </c>
      <c r="E24" s="59">
        <v>0.0416</v>
      </c>
      <c r="F24" s="20">
        <f t="shared" si="1"/>
        <v>7.038553599999999</v>
      </c>
      <c r="G24" s="80">
        <f t="shared" si="2"/>
        <v>2.447811380145278</v>
      </c>
      <c r="H24" s="80">
        <f t="shared" si="11"/>
        <v>0</v>
      </c>
      <c r="I24" s="65">
        <f t="shared" si="3"/>
        <v>9.486364980145277</v>
      </c>
      <c r="J24" s="62">
        <v>991.2</v>
      </c>
      <c r="K24" s="2">
        <f t="shared" si="4"/>
        <v>9402.884968319999</v>
      </c>
      <c r="L24" s="53">
        <f t="shared" si="5"/>
        <v>169.196</v>
      </c>
      <c r="M24" s="20">
        <f t="shared" si="6"/>
        <v>55.573919999999994</v>
      </c>
      <c r="N24" s="85">
        <v>9.03</v>
      </c>
      <c r="O24" s="20">
        <f t="shared" si="7"/>
        <v>11.477811380145278</v>
      </c>
      <c r="P24" s="65">
        <f t="shared" si="8"/>
        <v>1.991446400000001</v>
      </c>
      <c r="Q24" s="58">
        <v>663.9</v>
      </c>
      <c r="R24" s="1">
        <f t="shared" si="9"/>
        <v>1973.921671680001</v>
      </c>
      <c r="S24" s="4">
        <f t="shared" si="10"/>
        <v>2.9732213762313617</v>
      </c>
      <c r="T24" s="3">
        <f t="shared" si="12"/>
        <v>67.24039953663208</v>
      </c>
    </row>
    <row r="25" spans="1:20" ht="12.75">
      <c r="A25" s="61" t="s">
        <v>97</v>
      </c>
      <c r="B25" s="85">
        <v>22.075</v>
      </c>
      <c r="C25" s="59">
        <v>70</v>
      </c>
      <c r="D25" s="2">
        <f t="shared" si="0"/>
        <v>92.075</v>
      </c>
      <c r="E25" s="59">
        <v>0.05537</v>
      </c>
      <c r="F25" s="20">
        <f t="shared" si="1"/>
        <v>5.098192750000001</v>
      </c>
      <c r="G25" s="80">
        <f t="shared" si="2"/>
        <v>0.3193659200968523</v>
      </c>
      <c r="H25" s="80">
        <f t="shared" si="11"/>
        <v>0.9505649717514124</v>
      </c>
      <c r="I25" s="65">
        <f t="shared" si="3"/>
        <v>6.368123641848266</v>
      </c>
      <c r="J25" s="62">
        <v>991.2</v>
      </c>
      <c r="K25" s="2">
        <f t="shared" si="4"/>
        <v>6312.084153800001</v>
      </c>
      <c r="L25" s="53">
        <f t="shared" si="5"/>
        <v>92.075</v>
      </c>
      <c r="M25" s="20">
        <f t="shared" si="6"/>
        <v>68.55372417920175</v>
      </c>
      <c r="N25" s="85">
        <v>10.65</v>
      </c>
      <c r="O25" s="20">
        <f t="shared" si="7"/>
        <v>11.919930891848265</v>
      </c>
      <c r="P25" s="65">
        <f t="shared" si="8"/>
        <v>5.5518072499999995</v>
      </c>
      <c r="Q25" s="58">
        <v>2905.2</v>
      </c>
      <c r="R25" s="1">
        <f t="shared" si="9"/>
        <v>5502.9513461999995</v>
      </c>
      <c r="S25" s="4">
        <f t="shared" si="10"/>
        <v>1.8941729816191657</v>
      </c>
      <c r="T25" s="3">
        <f t="shared" si="12"/>
        <v>128.31969046972577</v>
      </c>
    </row>
    <row r="26" spans="1:20" ht="12.75">
      <c r="A26" s="73" t="s">
        <v>17</v>
      </c>
      <c r="B26" s="88">
        <f>SUM(B6:B25)</f>
        <v>7896.459</v>
      </c>
      <c r="C26" s="74">
        <f>SUM(C6:C25)</f>
        <v>1843</v>
      </c>
      <c r="D26" s="87">
        <f>SUM(D6:D25)</f>
        <v>9739.459</v>
      </c>
      <c r="E26" s="74"/>
      <c r="F26" s="75">
        <f>SUM(F6:F25)</f>
        <v>512.57665992</v>
      </c>
      <c r="G26" s="81">
        <f>SUM(G6:G25)</f>
        <v>114.24053880145279</v>
      </c>
      <c r="H26" s="81">
        <f>SUM(H6:H25)</f>
        <v>25.027017756255045</v>
      </c>
      <c r="I26" s="76">
        <f>SUM(I6:I25)</f>
        <v>651.8442164777078</v>
      </c>
      <c r="J26" s="82">
        <v>991.2</v>
      </c>
      <c r="K26" s="73">
        <f>SUM(K6:K24)</f>
        <v>639795.903218904</v>
      </c>
      <c r="L26" s="86">
        <f>SUM(L6:L25)</f>
        <v>9739.459</v>
      </c>
      <c r="M26" s="75">
        <f t="shared" si="6"/>
        <v>65.69111315309239</v>
      </c>
      <c r="N26" s="88">
        <f>SUM(N6:N25)</f>
        <v>846.9659999999999</v>
      </c>
      <c r="O26" s="75">
        <f>SUM(SUM(O6:O25))</f>
        <v>986.2335565577077</v>
      </c>
      <c r="P26" s="89">
        <f>SUM(P6:P25)</f>
        <v>334.38934008</v>
      </c>
      <c r="Q26" s="83">
        <f>Q6+Q7+Q8+Q9+Q10+Q11+Q12+Q13+Q14+Q15+Q16+Q17+Q18+Q19+Q20+Q21+Q22+Q23</f>
        <v>105007.7</v>
      </c>
      <c r="R26" s="78">
        <f t="shared" si="9"/>
        <v>331446.71388729603</v>
      </c>
      <c r="S26" s="79">
        <f t="shared" si="10"/>
        <v>3.156403900735813</v>
      </c>
      <c r="T26" s="3">
        <f t="shared" si="12"/>
        <v>100.37053405738449</v>
      </c>
    </row>
    <row r="27" spans="4:14" ht="12.75">
      <c r="D27" s="14"/>
      <c r="E27" s="14"/>
      <c r="F27" s="14"/>
      <c r="G27" s="14"/>
      <c r="H27" s="251"/>
      <c r="I27" s="251"/>
      <c r="J27" s="251"/>
      <c r="K27" s="14"/>
      <c r="L27" s="14"/>
      <c r="M27" s="90"/>
      <c r="N27" s="56"/>
    </row>
    <row r="28" ht="12.75">
      <c r="P28" t="s">
        <v>46</v>
      </c>
    </row>
    <row r="29" spans="2:15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2" ht="12.75">
      <c r="A31" s="5" t="s">
        <v>137</v>
      </c>
      <c r="B31" s="5"/>
      <c r="C31" s="5"/>
      <c r="D31" s="5" t="s">
        <v>138</v>
      </c>
      <c r="E31" s="5"/>
      <c r="F31" s="5"/>
      <c r="G31" s="5"/>
      <c r="H31" s="5"/>
      <c r="I31" s="5"/>
      <c r="J31" s="5"/>
      <c r="K31" s="5"/>
      <c r="L31" s="5"/>
    </row>
    <row r="32" spans="1:14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5"/>
      <c r="N32" s="10"/>
    </row>
    <row r="33" spans="1:14" ht="12.75">
      <c r="A33" t="s">
        <v>39</v>
      </c>
      <c r="G33" s="5"/>
      <c r="M33" s="5"/>
      <c r="N33" s="10"/>
    </row>
    <row r="34" spans="13:14" ht="12.75">
      <c r="M34" s="5"/>
      <c r="N34" s="10"/>
    </row>
    <row r="35" spans="1:14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0"/>
    </row>
    <row r="36" spans="1:1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0"/>
    </row>
  </sheetData>
  <mergeCells count="21">
    <mergeCell ref="R3:R4"/>
    <mergeCell ref="H3:H4"/>
    <mergeCell ref="S3:S4"/>
    <mergeCell ref="H27:J27"/>
    <mergeCell ref="M3:M4"/>
    <mergeCell ref="N3:N4"/>
    <mergeCell ref="O3:O4"/>
    <mergeCell ref="P3:P4"/>
    <mergeCell ref="I3:I4"/>
    <mergeCell ref="J3:J4"/>
    <mergeCell ref="Q3:Q4"/>
    <mergeCell ref="K3:K4"/>
    <mergeCell ref="L3:L4"/>
    <mergeCell ref="H1:I1"/>
    <mergeCell ref="E3:E4"/>
    <mergeCell ref="F3:F4"/>
    <mergeCell ref="G3:G4"/>
    <mergeCell ref="A3:A4"/>
    <mergeCell ref="B3:B4"/>
    <mergeCell ref="C3:C4"/>
    <mergeCell ref="D3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A25" sqref="A25:T25"/>
    </sheetView>
  </sheetViews>
  <sheetFormatPr defaultColWidth="9.00390625" defaultRowHeight="12.75"/>
  <cols>
    <col min="1" max="1" width="16.625" style="0" customWidth="1"/>
    <col min="2" max="2" width="9.00390625" style="0" customWidth="1"/>
    <col min="3" max="3" width="5.125" style="0" customWidth="1"/>
    <col min="4" max="4" width="8.875" style="0" customWidth="1"/>
    <col min="5" max="5" width="6.75390625" style="0" customWidth="1"/>
    <col min="6" max="7" width="6.375" style="0" customWidth="1"/>
    <col min="8" max="8" width="6.00390625" style="0" customWidth="1"/>
    <col min="9" max="9" width="6.875" style="0" customWidth="1"/>
    <col min="10" max="10" width="6.375" style="0" customWidth="1"/>
    <col min="11" max="11" width="7.875" style="0" customWidth="1"/>
    <col min="12" max="12" width="8.00390625" style="0" customWidth="1"/>
    <col min="13" max="13" width="6.25390625" style="0" customWidth="1"/>
    <col min="14" max="16" width="7.625" style="0" customWidth="1"/>
    <col min="17" max="17" width="7.125" style="0" customWidth="1"/>
    <col min="19" max="19" width="6.875" style="3" customWidth="1"/>
  </cols>
  <sheetData>
    <row r="1" spans="1:19" ht="55.5" customHeight="1">
      <c r="A1" s="63" t="s">
        <v>136</v>
      </c>
      <c r="B1" s="63"/>
      <c r="C1" s="63"/>
      <c r="D1" s="63"/>
      <c r="E1" s="63"/>
      <c r="F1" s="64"/>
      <c r="G1" s="16"/>
      <c r="H1" s="279" t="s">
        <v>141</v>
      </c>
      <c r="I1" s="279"/>
      <c r="J1" s="15">
        <v>2014</v>
      </c>
      <c r="K1" s="16"/>
      <c r="L1" s="16" t="s">
        <v>120</v>
      </c>
      <c r="M1" s="16"/>
      <c r="N1" s="16"/>
      <c r="O1" s="16"/>
      <c r="P1" s="16"/>
      <c r="Q1" s="16" t="s">
        <v>119</v>
      </c>
      <c r="R1" s="16"/>
      <c r="S1" s="16"/>
    </row>
    <row r="2" spans="1:1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5"/>
      <c r="N2" s="55"/>
      <c r="O2" s="17"/>
    </row>
    <row r="3" spans="1:19" ht="25.5" customHeight="1">
      <c r="A3" s="252" t="s">
        <v>116</v>
      </c>
      <c r="B3" s="270" t="s">
        <v>126</v>
      </c>
      <c r="C3" s="270" t="s">
        <v>127</v>
      </c>
      <c r="D3" s="272" t="s">
        <v>104</v>
      </c>
      <c r="E3" s="270" t="s">
        <v>100</v>
      </c>
      <c r="F3" s="272" t="s">
        <v>128</v>
      </c>
      <c r="G3" s="268" t="s">
        <v>140</v>
      </c>
      <c r="H3" s="268" t="s">
        <v>131</v>
      </c>
      <c r="I3" s="276" t="s">
        <v>132</v>
      </c>
      <c r="J3" s="278" t="s">
        <v>109</v>
      </c>
      <c r="K3" s="272" t="s">
        <v>124</v>
      </c>
      <c r="L3" s="272" t="s">
        <v>129</v>
      </c>
      <c r="M3" s="241" t="s">
        <v>125</v>
      </c>
      <c r="N3" s="270" t="s">
        <v>133</v>
      </c>
      <c r="O3" s="272" t="s">
        <v>142</v>
      </c>
      <c r="P3" s="274" t="s">
        <v>135</v>
      </c>
      <c r="Q3" s="278" t="s">
        <v>123</v>
      </c>
      <c r="R3" s="266" t="s">
        <v>115</v>
      </c>
      <c r="S3" s="243" t="s">
        <v>117</v>
      </c>
    </row>
    <row r="4" spans="1:19" ht="70.5" customHeight="1">
      <c r="A4" s="253"/>
      <c r="B4" s="271"/>
      <c r="C4" s="271"/>
      <c r="D4" s="273"/>
      <c r="E4" s="271"/>
      <c r="F4" s="273"/>
      <c r="G4" s="242"/>
      <c r="H4" s="242"/>
      <c r="I4" s="277"/>
      <c r="J4" s="242"/>
      <c r="K4" s="273"/>
      <c r="L4" s="273"/>
      <c r="M4" s="269"/>
      <c r="N4" s="271"/>
      <c r="O4" s="273"/>
      <c r="P4" s="275"/>
      <c r="Q4" s="242"/>
      <c r="R4" s="267"/>
      <c r="S4" s="240"/>
    </row>
    <row r="5" spans="1:19" s="72" customFormat="1" ht="10.5" customHeight="1">
      <c r="A5" s="68"/>
      <c r="B5" s="69">
        <v>1</v>
      </c>
      <c r="C5" s="69">
        <v>2</v>
      </c>
      <c r="D5" s="68">
        <v>3</v>
      </c>
      <c r="E5" s="69">
        <v>4</v>
      </c>
      <c r="F5" s="68">
        <v>5</v>
      </c>
      <c r="G5" s="70">
        <v>6</v>
      </c>
      <c r="H5" s="70">
        <v>7</v>
      </c>
      <c r="I5" s="68">
        <v>8</v>
      </c>
      <c r="J5" s="70">
        <v>9</v>
      </c>
      <c r="K5" s="68">
        <v>10</v>
      </c>
      <c r="L5" s="68">
        <v>11</v>
      </c>
      <c r="M5" s="68">
        <v>12</v>
      </c>
      <c r="N5" s="69">
        <v>13</v>
      </c>
      <c r="O5" s="68">
        <v>14</v>
      </c>
      <c r="P5" s="68">
        <v>15</v>
      </c>
      <c r="Q5" s="70">
        <v>16</v>
      </c>
      <c r="R5" s="68">
        <v>17</v>
      </c>
      <c r="S5" s="71">
        <v>18</v>
      </c>
    </row>
    <row r="6" spans="1:20" ht="12.75">
      <c r="A6" s="61" t="s">
        <v>0</v>
      </c>
      <c r="B6" s="85">
        <v>725.894</v>
      </c>
      <c r="C6" s="59">
        <v>0</v>
      </c>
      <c r="D6" s="2">
        <f aca="true" t="shared" si="0" ref="D6:D25">B6+C6</f>
        <v>725.894</v>
      </c>
      <c r="E6" s="67">
        <v>0.058</v>
      </c>
      <c r="F6" s="20">
        <f aca="true" t="shared" si="1" ref="F6:F25">D6*E6</f>
        <v>42.101852</v>
      </c>
      <c r="G6" s="80">
        <f aca="true" t="shared" si="2" ref="G6:G25">B6*14.34/991.2</f>
        <v>10.501735230024213</v>
      </c>
      <c r="H6" s="80">
        <f aca="true" t="shared" si="3" ref="H6:H25">C6*13.46/991.2</f>
        <v>0</v>
      </c>
      <c r="I6" s="65">
        <f aca="true" t="shared" si="4" ref="I6:I25">F6+G6+H6</f>
        <v>52.60358723002422</v>
      </c>
      <c r="J6" s="62">
        <v>991.2</v>
      </c>
      <c r="K6" s="2">
        <f aca="true" t="shared" si="5" ref="K6:K25">I6*J6</f>
        <v>52140.675662400005</v>
      </c>
      <c r="L6" s="53">
        <f aca="true" t="shared" si="6" ref="L6:L25">D6</f>
        <v>725.894</v>
      </c>
      <c r="M6" s="20">
        <f aca="true" t="shared" si="7" ref="M6:M26">K6/L6</f>
        <v>71.8296</v>
      </c>
      <c r="N6" s="85">
        <v>51.535</v>
      </c>
      <c r="O6" s="20">
        <f aca="true" t="shared" si="8" ref="O6:O25">G6+H6+N6</f>
        <v>62.036735230024206</v>
      </c>
      <c r="P6" s="65">
        <f aca="true" t="shared" si="9" ref="P6:P25">O6-I6</f>
        <v>9.433147999999989</v>
      </c>
      <c r="Q6" s="58">
        <v>9290.5</v>
      </c>
      <c r="R6" s="1">
        <f aca="true" t="shared" si="10" ref="R6:R26">P6*J6</f>
        <v>9350.13629759999</v>
      </c>
      <c r="S6" s="4">
        <f aca="true" t="shared" si="11" ref="S6:S26">R6/Q6</f>
        <v>1.0064190622248521</v>
      </c>
      <c r="T6" s="3">
        <f>O6*J6/D6</f>
        <v>84.71045629251654</v>
      </c>
    </row>
    <row r="7" spans="1:20" ht="12.75">
      <c r="A7" s="61" t="s">
        <v>1</v>
      </c>
      <c r="B7" s="85">
        <v>17.812</v>
      </c>
      <c r="C7" s="59">
        <v>787</v>
      </c>
      <c r="D7" s="2">
        <f t="shared" si="0"/>
        <v>804.812</v>
      </c>
      <c r="E7" s="59">
        <v>0.0531</v>
      </c>
      <c r="F7" s="20">
        <f t="shared" si="1"/>
        <v>42.735517200000004</v>
      </c>
      <c r="G7" s="80">
        <f t="shared" si="2"/>
        <v>0.2576917675544794</v>
      </c>
      <c r="H7" s="80">
        <f t="shared" si="3"/>
        <v>10.687066182405166</v>
      </c>
      <c r="I7" s="65">
        <f t="shared" si="4"/>
        <v>53.68027514995965</v>
      </c>
      <c r="J7" s="62">
        <v>991.2</v>
      </c>
      <c r="K7" s="2">
        <f t="shared" si="5"/>
        <v>53207.888728640006</v>
      </c>
      <c r="L7" s="53">
        <f t="shared" si="6"/>
        <v>804.812</v>
      </c>
      <c r="M7" s="20">
        <f t="shared" si="7"/>
        <v>66.11219605154993</v>
      </c>
      <c r="N7" s="85">
        <v>68.911</v>
      </c>
      <c r="O7" s="20">
        <f t="shared" si="8"/>
        <v>79.85575794995965</v>
      </c>
      <c r="P7" s="65">
        <f t="shared" si="9"/>
        <v>26.175482800000005</v>
      </c>
      <c r="Q7" s="58">
        <v>9725.3</v>
      </c>
      <c r="R7" s="1">
        <f t="shared" si="10"/>
        <v>25945.138551360007</v>
      </c>
      <c r="S7" s="4">
        <f t="shared" si="11"/>
        <v>2.6677982737149506</v>
      </c>
      <c r="T7" s="3">
        <f aca="true" t="shared" si="12" ref="T7:T25">O7*J7/D7</f>
        <v>98.34971059079638</v>
      </c>
    </row>
    <row r="8" spans="1:20" ht="12.75">
      <c r="A8" s="61" t="s">
        <v>2</v>
      </c>
      <c r="B8" s="85">
        <v>13.899</v>
      </c>
      <c r="C8" s="59">
        <v>434</v>
      </c>
      <c r="D8" s="2">
        <f t="shared" si="0"/>
        <v>447.899</v>
      </c>
      <c r="E8" s="59">
        <v>0.0607</v>
      </c>
      <c r="F8" s="20">
        <f t="shared" si="1"/>
        <v>27.1874693</v>
      </c>
      <c r="G8" s="80">
        <f t="shared" si="2"/>
        <v>0.2010811743341404</v>
      </c>
      <c r="H8" s="80">
        <f t="shared" si="3"/>
        <v>5.893502824858757</v>
      </c>
      <c r="I8" s="65">
        <f t="shared" si="4"/>
        <v>33.282053299192896</v>
      </c>
      <c r="J8" s="62">
        <v>991.2</v>
      </c>
      <c r="K8" s="2">
        <f t="shared" si="5"/>
        <v>32989.17123016</v>
      </c>
      <c r="L8" s="53">
        <f t="shared" si="6"/>
        <v>447.899</v>
      </c>
      <c r="M8" s="20">
        <f t="shared" si="7"/>
        <v>73.65314776358062</v>
      </c>
      <c r="N8" s="85">
        <v>36.8</v>
      </c>
      <c r="O8" s="20">
        <f t="shared" si="8"/>
        <v>42.894583999192896</v>
      </c>
      <c r="P8" s="65">
        <f t="shared" si="9"/>
        <v>9.6125307</v>
      </c>
      <c r="Q8" s="58">
        <v>6610</v>
      </c>
      <c r="R8" s="1">
        <f t="shared" si="10"/>
        <v>9527.94042984</v>
      </c>
      <c r="S8" s="4">
        <f t="shared" si="11"/>
        <v>1.4414433328048413</v>
      </c>
      <c r="T8" s="3">
        <f t="shared" si="12"/>
        <v>94.92566775098851</v>
      </c>
    </row>
    <row r="9" spans="1:20" ht="12.75">
      <c r="A9" s="61" t="s">
        <v>3</v>
      </c>
      <c r="B9" s="85">
        <v>594.56</v>
      </c>
      <c r="C9" s="59">
        <v>0</v>
      </c>
      <c r="D9" s="2">
        <f t="shared" si="0"/>
        <v>594.56</v>
      </c>
      <c r="E9" s="59">
        <v>0.0593</v>
      </c>
      <c r="F9" s="20">
        <f t="shared" si="1"/>
        <v>35.257408</v>
      </c>
      <c r="G9" s="80">
        <f t="shared" si="2"/>
        <v>8.601685230024211</v>
      </c>
      <c r="H9" s="80">
        <f t="shared" si="3"/>
        <v>0</v>
      </c>
      <c r="I9" s="65">
        <f t="shared" si="4"/>
        <v>43.85909323002421</v>
      </c>
      <c r="J9" s="62">
        <v>991.2</v>
      </c>
      <c r="K9" s="2">
        <f t="shared" si="5"/>
        <v>43473.1332096</v>
      </c>
      <c r="L9" s="53">
        <f t="shared" si="6"/>
        <v>594.56</v>
      </c>
      <c r="M9" s="20">
        <f t="shared" si="7"/>
        <v>73.11816</v>
      </c>
      <c r="N9" s="85">
        <v>58.551</v>
      </c>
      <c r="O9" s="20">
        <f t="shared" si="8"/>
        <v>67.15268523002422</v>
      </c>
      <c r="P9" s="65">
        <f t="shared" si="9"/>
        <v>23.29359200000001</v>
      </c>
      <c r="Q9" s="58">
        <v>6343.9</v>
      </c>
      <c r="R9" s="1">
        <f t="shared" si="10"/>
        <v>23088.60839040001</v>
      </c>
      <c r="S9" s="4">
        <f t="shared" si="11"/>
        <v>3.639497531549995</v>
      </c>
      <c r="T9" s="3">
        <f t="shared" si="12"/>
        <v>111.95126076426267</v>
      </c>
    </row>
    <row r="10" spans="1:20" ht="12.75">
      <c r="A10" s="61" t="s">
        <v>4</v>
      </c>
      <c r="B10" s="85">
        <v>477.7</v>
      </c>
      <c r="C10" s="59">
        <v>0</v>
      </c>
      <c r="D10" s="2">
        <f t="shared" si="0"/>
        <v>477.7</v>
      </c>
      <c r="E10" s="67">
        <v>0.058</v>
      </c>
      <c r="F10" s="20">
        <f t="shared" si="1"/>
        <v>27.7066</v>
      </c>
      <c r="G10" s="80">
        <f t="shared" si="2"/>
        <v>6.9110351089588375</v>
      </c>
      <c r="H10" s="80">
        <f t="shared" si="3"/>
        <v>0</v>
      </c>
      <c r="I10" s="65">
        <f t="shared" si="4"/>
        <v>34.61763510895884</v>
      </c>
      <c r="J10" s="62">
        <v>991.2</v>
      </c>
      <c r="K10" s="2">
        <f t="shared" si="5"/>
        <v>34312.99992</v>
      </c>
      <c r="L10" s="53">
        <f t="shared" si="6"/>
        <v>477.7</v>
      </c>
      <c r="M10" s="20">
        <f t="shared" si="7"/>
        <v>71.8296</v>
      </c>
      <c r="N10" s="85">
        <v>43.497</v>
      </c>
      <c r="O10" s="20">
        <f t="shared" si="8"/>
        <v>50.408035108958835</v>
      </c>
      <c r="P10" s="65">
        <f t="shared" si="9"/>
        <v>15.790399999999998</v>
      </c>
      <c r="Q10" s="58">
        <v>5989.7</v>
      </c>
      <c r="R10" s="1">
        <f t="shared" si="10"/>
        <v>15651.444479999998</v>
      </c>
      <c r="S10" s="4">
        <f t="shared" si="11"/>
        <v>2.6130598327128234</v>
      </c>
      <c r="T10" s="3">
        <f t="shared" si="12"/>
        <v>104.59377098597446</v>
      </c>
    </row>
    <row r="11" spans="1:20" ht="12.75">
      <c r="A11" s="61" t="s">
        <v>5</v>
      </c>
      <c r="B11" s="85">
        <v>503.641</v>
      </c>
      <c r="C11" s="59">
        <v>0</v>
      </c>
      <c r="D11" s="2">
        <f t="shared" si="0"/>
        <v>503.641</v>
      </c>
      <c r="E11" s="59">
        <v>0.0602</v>
      </c>
      <c r="F11" s="20">
        <f t="shared" si="1"/>
        <v>30.3191882</v>
      </c>
      <c r="G11" s="80">
        <f t="shared" si="2"/>
        <v>7.286331658595642</v>
      </c>
      <c r="H11" s="80">
        <f t="shared" si="3"/>
        <v>0</v>
      </c>
      <c r="I11" s="65">
        <f t="shared" si="4"/>
        <v>37.60551985859564</v>
      </c>
      <c r="J11" s="62">
        <v>991.2</v>
      </c>
      <c r="K11" s="2">
        <f t="shared" si="5"/>
        <v>37274.59128384</v>
      </c>
      <c r="L11" s="53">
        <f t="shared" si="6"/>
        <v>503.641</v>
      </c>
      <c r="M11" s="20">
        <f t="shared" si="7"/>
        <v>74.01024000000001</v>
      </c>
      <c r="N11" s="85">
        <v>53.42</v>
      </c>
      <c r="O11" s="20">
        <f t="shared" si="8"/>
        <v>60.706331658595644</v>
      </c>
      <c r="P11" s="65">
        <f t="shared" si="9"/>
        <v>23.100811800000002</v>
      </c>
      <c r="Q11" s="58">
        <v>5514.4</v>
      </c>
      <c r="R11" s="1">
        <f t="shared" si="10"/>
        <v>22897.524656160003</v>
      </c>
      <c r="S11" s="4">
        <f t="shared" si="11"/>
        <v>4.152314786043814</v>
      </c>
      <c r="T11" s="3">
        <f t="shared" si="12"/>
        <v>119.47422060555039</v>
      </c>
    </row>
    <row r="12" spans="1:20" ht="12.75">
      <c r="A12" s="61" t="s">
        <v>6</v>
      </c>
      <c r="B12" s="85">
        <v>258.977</v>
      </c>
      <c r="C12" s="59">
        <v>0</v>
      </c>
      <c r="D12" s="2">
        <f t="shared" si="0"/>
        <v>258.977</v>
      </c>
      <c r="E12" s="59">
        <v>0.0656</v>
      </c>
      <c r="F12" s="20">
        <f t="shared" si="1"/>
        <v>16.9888912</v>
      </c>
      <c r="G12" s="80">
        <f t="shared" si="2"/>
        <v>3.7467011501210647</v>
      </c>
      <c r="H12" s="80">
        <f t="shared" si="3"/>
        <v>0</v>
      </c>
      <c r="I12" s="65">
        <f t="shared" si="4"/>
        <v>20.735592350121067</v>
      </c>
      <c r="J12" s="62">
        <v>991.2</v>
      </c>
      <c r="K12" s="2">
        <f t="shared" si="5"/>
        <v>20553.119137440004</v>
      </c>
      <c r="L12" s="53">
        <f t="shared" si="6"/>
        <v>258.977</v>
      </c>
      <c r="M12" s="20">
        <f t="shared" si="7"/>
        <v>79.36272000000002</v>
      </c>
      <c r="N12" s="85">
        <v>30.554</v>
      </c>
      <c r="O12" s="20">
        <f t="shared" si="8"/>
        <v>34.300701150121064</v>
      </c>
      <c r="P12" s="65">
        <f t="shared" si="9"/>
        <v>13.565108799999997</v>
      </c>
      <c r="Q12" s="58">
        <v>7253</v>
      </c>
      <c r="R12" s="1">
        <f t="shared" si="10"/>
        <v>13445.735842559998</v>
      </c>
      <c r="S12" s="4">
        <f t="shared" si="11"/>
        <v>1.853817157391424</v>
      </c>
      <c r="T12" s="3">
        <f t="shared" si="12"/>
        <v>131.2813685385189</v>
      </c>
    </row>
    <row r="13" spans="1:20" ht="12.75">
      <c r="A13" s="61" t="s">
        <v>7</v>
      </c>
      <c r="B13" s="85">
        <v>0</v>
      </c>
      <c r="C13" s="59">
        <v>0</v>
      </c>
      <c r="D13" s="2">
        <f t="shared" si="0"/>
        <v>0</v>
      </c>
      <c r="E13" s="59">
        <v>0.0326</v>
      </c>
      <c r="F13" s="20">
        <f t="shared" si="1"/>
        <v>0</v>
      </c>
      <c r="G13" s="80">
        <f t="shared" si="2"/>
        <v>0</v>
      </c>
      <c r="H13" s="80">
        <f t="shared" si="3"/>
        <v>0</v>
      </c>
      <c r="I13" s="65">
        <f t="shared" si="4"/>
        <v>0</v>
      </c>
      <c r="J13" s="84">
        <v>1590.78</v>
      </c>
      <c r="K13" s="2">
        <f t="shared" si="5"/>
        <v>0</v>
      </c>
      <c r="L13" s="53">
        <f t="shared" si="6"/>
        <v>0</v>
      </c>
      <c r="M13" s="20" t="e">
        <f t="shared" si="7"/>
        <v>#DIV/0!</v>
      </c>
      <c r="N13" s="85">
        <v>0</v>
      </c>
      <c r="O13" s="20">
        <f t="shared" si="8"/>
        <v>0</v>
      </c>
      <c r="P13" s="65">
        <f t="shared" si="9"/>
        <v>0</v>
      </c>
      <c r="Q13" s="58">
        <v>760.9</v>
      </c>
      <c r="R13" s="1">
        <f t="shared" si="10"/>
        <v>0</v>
      </c>
      <c r="S13" s="4">
        <f t="shared" si="11"/>
        <v>0</v>
      </c>
      <c r="T13" s="3" t="e">
        <f t="shared" si="12"/>
        <v>#DIV/0!</v>
      </c>
    </row>
    <row r="14" spans="1:20" ht="12.75">
      <c r="A14" s="61" t="s">
        <v>8</v>
      </c>
      <c r="B14" s="85">
        <v>348.358</v>
      </c>
      <c r="C14" s="59">
        <v>0</v>
      </c>
      <c r="D14" s="2">
        <f t="shared" si="0"/>
        <v>348.358</v>
      </c>
      <c r="E14" s="59">
        <v>0.0588</v>
      </c>
      <c r="F14" s="20">
        <f t="shared" si="1"/>
        <v>20.4834504</v>
      </c>
      <c r="G14" s="80">
        <f t="shared" si="2"/>
        <v>5.039803995157385</v>
      </c>
      <c r="H14" s="80">
        <f t="shared" si="3"/>
        <v>0</v>
      </c>
      <c r="I14" s="65">
        <f t="shared" si="4"/>
        <v>25.523254395157384</v>
      </c>
      <c r="J14" s="62">
        <v>991.2</v>
      </c>
      <c r="K14" s="2">
        <f t="shared" si="5"/>
        <v>25298.64975648</v>
      </c>
      <c r="L14" s="53">
        <f t="shared" si="6"/>
        <v>348.358</v>
      </c>
      <c r="M14" s="20">
        <f t="shared" si="7"/>
        <v>72.62256000000001</v>
      </c>
      <c r="N14" s="85">
        <v>34.813</v>
      </c>
      <c r="O14" s="20">
        <f t="shared" si="8"/>
        <v>39.85280399515739</v>
      </c>
      <c r="P14" s="65">
        <f t="shared" si="9"/>
        <v>14.329549600000004</v>
      </c>
      <c r="Q14" s="58">
        <v>3718.8</v>
      </c>
      <c r="R14" s="1">
        <f t="shared" si="10"/>
        <v>14203.449563520004</v>
      </c>
      <c r="S14" s="4">
        <f t="shared" si="11"/>
        <v>3.8193636558889974</v>
      </c>
      <c r="T14" s="3">
        <f t="shared" si="12"/>
        <v>113.39512604849035</v>
      </c>
    </row>
    <row r="15" spans="1:20" ht="12.75">
      <c r="A15" s="61" t="s">
        <v>9</v>
      </c>
      <c r="B15" s="85">
        <v>765.687</v>
      </c>
      <c r="C15" s="59">
        <v>0</v>
      </c>
      <c r="D15" s="2">
        <f t="shared" si="0"/>
        <v>765.687</v>
      </c>
      <c r="E15" s="59">
        <v>0.0601</v>
      </c>
      <c r="F15" s="20">
        <f t="shared" si="1"/>
        <v>46.017788700000004</v>
      </c>
      <c r="G15" s="80">
        <f t="shared" si="2"/>
        <v>11.07743299031477</v>
      </c>
      <c r="H15" s="80">
        <f t="shared" si="3"/>
        <v>0</v>
      </c>
      <c r="I15" s="65">
        <f t="shared" si="4"/>
        <v>57.09522169031477</v>
      </c>
      <c r="J15" s="62">
        <v>991.2</v>
      </c>
      <c r="K15" s="2">
        <f t="shared" si="5"/>
        <v>56592.783739440005</v>
      </c>
      <c r="L15" s="53">
        <f t="shared" si="6"/>
        <v>765.687</v>
      </c>
      <c r="M15" s="20">
        <f t="shared" si="7"/>
        <v>73.91112000000001</v>
      </c>
      <c r="N15" s="85">
        <v>83.969</v>
      </c>
      <c r="O15" s="20">
        <f t="shared" si="8"/>
        <v>95.04643299031477</v>
      </c>
      <c r="P15" s="65">
        <f t="shared" si="9"/>
        <v>37.9512113</v>
      </c>
      <c r="Q15" s="58">
        <v>9274.6</v>
      </c>
      <c r="R15" s="1">
        <f t="shared" si="10"/>
        <v>37617.24064056</v>
      </c>
      <c r="S15" s="4">
        <f t="shared" si="11"/>
        <v>4.055942104302072</v>
      </c>
      <c r="T15" s="3">
        <f t="shared" si="12"/>
        <v>123.03986404366275</v>
      </c>
    </row>
    <row r="16" spans="1:20" ht="12.75">
      <c r="A16" s="61" t="s">
        <v>10</v>
      </c>
      <c r="B16" s="85">
        <v>429.72</v>
      </c>
      <c r="C16" s="59">
        <v>0</v>
      </c>
      <c r="D16" s="2">
        <f t="shared" si="0"/>
        <v>429.72</v>
      </c>
      <c r="E16" s="59">
        <v>0.0616</v>
      </c>
      <c r="F16" s="20">
        <f t="shared" si="1"/>
        <v>26.470752</v>
      </c>
      <c r="G16" s="80">
        <f t="shared" si="2"/>
        <v>6.216893462469733</v>
      </c>
      <c r="H16" s="80">
        <f t="shared" si="3"/>
        <v>0</v>
      </c>
      <c r="I16" s="65">
        <f t="shared" si="4"/>
        <v>32.68764546246973</v>
      </c>
      <c r="J16" s="62">
        <v>991.2</v>
      </c>
      <c r="K16" s="2">
        <f t="shared" si="5"/>
        <v>32399.994182399998</v>
      </c>
      <c r="L16" s="53">
        <f t="shared" si="6"/>
        <v>429.72</v>
      </c>
      <c r="M16" s="20">
        <f t="shared" si="7"/>
        <v>75.39791999999998</v>
      </c>
      <c r="N16" s="85">
        <v>40.761</v>
      </c>
      <c r="O16" s="20">
        <f t="shared" si="8"/>
        <v>46.97789346246974</v>
      </c>
      <c r="P16" s="65">
        <f t="shared" si="9"/>
        <v>14.290248000000005</v>
      </c>
      <c r="Q16" s="58">
        <v>5981.3</v>
      </c>
      <c r="R16" s="1">
        <f t="shared" si="10"/>
        <v>14164.493817600007</v>
      </c>
      <c r="S16" s="4">
        <f t="shared" si="11"/>
        <v>2.3681296403123078</v>
      </c>
      <c r="T16" s="3">
        <f t="shared" si="12"/>
        <v>108.36006702038537</v>
      </c>
    </row>
    <row r="17" spans="1:20" ht="12.75">
      <c r="A17" s="61" t="s">
        <v>11</v>
      </c>
      <c r="B17" s="85">
        <v>309.604</v>
      </c>
      <c r="C17" s="59">
        <v>0</v>
      </c>
      <c r="D17" s="2">
        <f t="shared" si="0"/>
        <v>309.604</v>
      </c>
      <c r="E17" s="67">
        <v>0.062</v>
      </c>
      <c r="F17" s="20">
        <f t="shared" si="1"/>
        <v>19.195448</v>
      </c>
      <c r="G17" s="80">
        <f t="shared" si="2"/>
        <v>4.4791377723970935</v>
      </c>
      <c r="H17" s="80">
        <f t="shared" si="3"/>
        <v>0</v>
      </c>
      <c r="I17" s="65">
        <f t="shared" si="4"/>
        <v>23.674585772397094</v>
      </c>
      <c r="J17" s="62">
        <v>991.2</v>
      </c>
      <c r="K17" s="2">
        <f t="shared" si="5"/>
        <v>23466.2494176</v>
      </c>
      <c r="L17" s="53">
        <f t="shared" si="6"/>
        <v>309.604</v>
      </c>
      <c r="M17" s="20">
        <f t="shared" si="7"/>
        <v>75.79440000000001</v>
      </c>
      <c r="N17" s="85">
        <v>26.26</v>
      </c>
      <c r="O17" s="20">
        <f t="shared" si="8"/>
        <v>30.739137772397093</v>
      </c>
      <c r="P17" s="65">
        <f t="shared" si="9"/>
        <v>7.064551999999999</v>
      </c>
      <c r="Q17" s="58">
        <v>3323</v>
      </c>
      <c r="R17" s="1">
        <f t="shared" si="10"/>
        <v>7002.3839424</v>
      </c>
      <c r="S17" s="4">
        <f t="shared" si="11"/>
        <v>2.1072476504363524</v>
      </c>
      <c r="T17" s="3">
        <f t="shared" si="12"/>
        <v>98.41162698156354</v>
      </c>
    </row>
    <row r="18" spans="1:20" ht="12.75">
      <c r="A18" s="61" t="s">
        <v>12</v>
      </c>
      <c r="B18" s="85">
        <v>776.72</v>
      </c>
      <c r="C18" s="59">
        <v>0</v>
      </c>
      <c r="D18" s="2">
        <f t="shared" si="0"/>
        <v>776.72</v>
      </c>
      <c r="E18" s="67">
        <v>0.0579</v>
      </c>
      <c r="F18" s="20">
        <f t="shared" si="1"/>
        <v>44.972088</v>
      </c>
      <c r="G18" s="80">
        <f t="shared" si="2"/>
        <v>11.237050847457628</v>
      </c>
      <c r="H18" s="80">
        <f t="shared" si="3"/>
        <v>0</v>
      </c>
      <c r="I18" s="65">
        <f t="shared" si="4"/>
        <v>56.20913884745762</v>
      </c>
      <c r="J18" s="62">
        <v>991.2</v>
      </c>
      <c r="K18" s="2">
        <f t="shared" si="5"/>
        <v>55714.4984256</v>
      </c>
      <c r="L18" s="53">
        <f t="shared" si="6"/>
        <v>776.72</v>
      </c>
      <c r="M18" s="20">
        <f t="shared" si="7"/>
        <v>71.73048</v>
      </c>
      <c r="N18" s="85">
        <v>52</v>
      </c>
      <c r="O18" s="20">
        <f t="shared" si="8"/>
        <v>63.237050847457624</v>
      </c>
      <c r="P18" s="65">
        <f t="shared" si="9"/>
        <v>7.027912000000001</v>
      </c>
      <c r="Q18" s="58">
        <v>6355.1</v>
      </c>
      <c r="R18" s="1">
        <f t="shared" si="10"/>
        <v>6966.066374400001</v>
      </c>
      <c r="S18" s="4">
        <f t="shared" si="11"/>
        <v>1.096137963903007</v>
      </c>
      <c r="T18" s="3">
        <f t="shared" si="12"/>
        <v>80.69904830569574</v>
      </c>
    </row>
    <row r="19" spans="1:20" s="95" customFormat="1" ht="12.75">
      <c r="A19" s="61" t="s">
        <v>13</v>
      </c>
      <c r="B19" s="85">
        <v>721.572</v>
      </c>
      <c r="C19" s="59">
        <v>0</v>
      </c>
      <c r="D19" s="2">
        <f t="shared" si="0"/>
        <v>721.572</v>
      </c>
      <c r="E19" s="67">
        <v>0.0657</v>
      </c>
      <c r="F19" s="20">
        <f t="shared" si="1"/>
        <v>47.4072804</v>
      </c>
      <c r="G19" s="80">
        <f t="shared" si="2"/>
        <v>10.439207506053268</v>
      </c>
      <c r="H19" s="80">
        <f t="shared" si="3"/>
        <v>0</v>
      </c>
      <c r="I19" s="65">
        <f t="shared" si="4"/>
        <v>57.84648790605327</v>
      </c>
      <c r="J19" s="62">
        <v>991.2</v>
      </c>
      <c r="K19" s="2">
        <f t="shared" si="5"/>
        <v>57337.43881248</v>
      </c>
      <c r="L19" s="53">
        <f t="shared" si="6"/>
        <v>721.572</v>
      </c>
      <c r="M19" s="20">
        <f t="shared" si="7"/>
        <v>79.46184000000001</v>
      </c>
      <c r="N19" s="85">
        <v>39.756</v>
      </c>
      <c r="O19" s="20">
        <f>G19+H19+N19</f>
        <v>50.195207506053265</v>
      </c>
      <c r="P19" s="65">
        <f t="shared" si="9"/>
        <v>-7.6512804000000045</v>
      </c>
      <c r="Q19" s="92">
        <v>4183.8</v>
      </c>
      <c r="R19" s="93">
        <f t="shared" si="10"/>
        <v>-7583.949132480005</v>
      </c>
      <c r="S19" s="94">
        <f t="shared" si="11"/>
        <v>-1.8126939940914968</v>
      </c>
      <c r="T19" s="3">
        <f t="shared" si="12"/>
        <v>68.95152483743826</v>
      </c>
    </row>
    <row r="20" spans="1:20" ht="12.75">
      <c r="A20" s="61" t="s">
        <v>14</v>
      </c>
      <c r="B20" s="85">
        <v>361.093</v>
      </c>
      <c r="C20" s="59">
        <v>0</v>
      </c>
      <c r="D20" s="2">
        <f t="shared" si="0"/>
        <v>361.093</v>
      </c>
      <c r="E20" s="67">
        <v>0.0579</v>
      </c>
      <c r="F20" s="20">
        <f t="shared" si="1"/>
        <v>20.9072847</v>
      </c>
      <c r="G20" s="80">
        <f t="shared" si="2"/>
        <v>5.224045217917675</v>
      </c>
      <c r="H20" s="80">
        <f t="shared" si="3"/>
        <v>0</v>
      </c>
      <c r="I20" s="65">
        <f t="shared" si="4"/>
        <v>26.131329917917675</v>
      </c>
      <c r="J20" s="62">
        <v>991.2</v>
      </c>
      <c r="K20" s="2">
        <f t="shared" si="5"/>
        <v>25901.37421464</v>
      </c>
      <c r="L20" s="53">
        <f t="shared" si="6"/>
        <v>361.093</v>
      </c>
      <c r="M20" s="20">
        <f t="shared" si="7"/>
        <v>71.73048</v>
      </c>
      <c r="N20" s="85">
        <v>30.259</v>
      </c>
      <c r="O20" s="20">
        <f t="shared" si="8"/>
        <v>35.48304521791768</v>
      </c>
      <c r="P20" s="65">
        <f t="shared" si="9"/>
        <v>9.351715300000002</v>
      </c>
      <c r="Q20" s="58">
        <v>3908.1</v>
      </c>
      <c r="R20" s="1">
        <f t="shared" si="10"/>
        <v>9269.420205360002</v>
      </c>
      <c r="S20" s="4">
        <f t="shared" si="11"/>
        <v>2.371848265233746</v>
      </c>
      <c r="T20" s="3">
        <f t="shared" si="12"/>
        <v>97.40093111746836</v>
      </c>
    </row>
    <row r="21" spans="1:20" ht="12.75">
      <c r="A21" s="61" t="s">
        <v>15</v>
      </c>
      <c r="B21" s="85">
        <v>424.385</v>
      </c>
      <c r="C21" s="59">
        <v>0</v>
      </c>
      <c r="D21" s="2">
        <f t="shared" si="0"/>
        <v>424.385</v>
      </c>
      <c r="E21" s="67">
        <v>0.0628</v>
      </c>
      <c r="F21" s="20">
        <f t="shared" si="1"/>
        <v>26.651377999999998</v>
      </c>
      <c r="G21" s="80">
        <f t="shared" si="2"/>
        <v>6.139710351089588</v>
      </c>
      <c r="H21" s="80">
        <f t="shared" si="3"/>
        <v>0</v>
      </c>
      <c r="I21" s="65">
        <f t="shared" si="4"/>
        <v>32.791088351089584</v>
      </c>
      <c r="J21" s="62">
        <v>991.2</v>
      </c>
      <c r="K21" s="2">
        <f t="shared" si="5"/>
        <v>32502.5267736</v>
      </c>
      <c r="L21" s="53">
        <f t="shared" si="6"/>
        <v>424.385</v>
      </c>
      <c r="M21" s="20">
        <f t="shared" si="7"/>
        <v>76.58736</v>
      </c>
      <c r="N21" s="85">
        <v>57.279</v>
      </c>
      <c r="O21" s="20">
        <f t="shared" si="8"/>
        <v>63.418710351089594</v>
      </c>
      <c r="P21" s="65">
        <f t="shared" si="9"/>
        <v>30.62762200000001</v>
      </c>
      <c r="Q21" s="58">
        <v>5485.5</v>
      </c>
      <c r="R21" s="1">
        <f t="shared" si="10"/>
        <v>30358.09892640001</v>
      </c>
      <c r="S21" s="4">
        <f t="shared" si="11"/>
        <v>5.5342446315559215</v>
      </c>
      <c r="T21" s="3">
        <f t="shared" si="12"/>
        <v>148.1216953945121</v>
      </c>
    </row>
    <row r="22" spans="1:20" ht="12.75">
      <c r="A22" s="61" t="s">
        <v>16</v>
      </c>
      <c r="B22" s="85">
        <v>486.645</v>
      </c>
      <c r="C22" s="59">
        <v>0</v>
      </c>
      <c r="D22" s="2">
        <f t="shared" si="0"/>
        <v>486.645</v>
      </c>
      <c r="E22" s="67">
        <v>0.0577</v>
      </c>
      <c r="F22" s="20">
        <f t="shared" si="1"/>
        <v>28.0794165</v>
      </c>
      <c r="G22" s="80">
        <f t="shared" si="2"/>
        <v>7.040445217917674</v>
      </c>
      <c r="H22" s="80">
        <f t="shared" si="3"/>
        <v>0</v>
      </c>
      <c r="I22" s="65">
        <f t="shared" si="4"/>
        <v>35.11986171791767</v>
      </c>
      <c r="J22" s="62">
        <v>991.2</v>
      </c>
      <c r="K22" s="2">
        <f t="shared" si="5"/>
        <v>34810.8069348</v>
      </c>
      <c r="L22" s="53">
        <f t="shared" si="6"/>
        <v>486.645</v>
      </c>
      <c r="M22" s="20">
        <f t="shared" si="7"/>
        <v>71.53224</v>
      </c>
      <c r="N22" s="85">
        <v>44.24</v>
      </c>
      <c r="O22" s="20">
        <f t="shared" si="8"/>
        <v>51.28044521791767</v>
      </c>
      <c r="P22" s="65">
        <f t="shared" si="9"/>
        <v>16.1605835</v>
      </c>
      <c r="Q22" s="58">
        <v>4673.4</v>
      </c>
      <c r="R22" s="1">
        <f t="shared" si="10"/>
        <v>16018.370365200002</v>
      </c>
      <c r="S22" s="4">
        <f t="shared" si="11"/>
        <v>3.427562452432919</v>
      </c>
      <c r="T22" s="3">
        <f t="shared" si="12"/>
        <v>104.44816508954166</v>
      </c>
    </row>
    <row r="23" spans="1:20" ht="12.75">
      <c r="A23" s="61" t="s">
        <v>42</v>
      </c>
      <c r="B23" s="85">
        <v>0</v>
      </c>
      <c r="C23" s="59">
        <v>438</v>
      </c>
      <c r="D23" s="2">
        <f t="shared" si="0"/>
        <v>438</v>
      </c>
      <c r="E23" s="67">
        <v>0.0557</v>
      </c>
      <c r="F23" s="20">
        <f t="shared" si="1"/>
        <v>24.3966</v>
      </c>
      <c r="G23" s="80">
        <f t="shared" si="2"/>
        <v>0</v>
      </c>
      <c r="H23" s="80">
        <f t="shared" si="3"/>
        <v>5.947820823244553</v>
      </c>
      <c r="I23" s="65">
        <f t="shared" si="4"/>
        <v>30.34442082324455</v>
      </c>
      <c r="J23" s="62">
        <v>991.2</v>
      </c>
      <c r="K23" s="2">
        <f t="shared" si="5"/>
        <v>30077.38992</v>
      </c>
      <c r="L23" s="53">
        <f t="shared" si="6"/>
        <v>438</v>
      </c>
      <c r="M23" s="20">
        <f t="shared" si="7"/>
        <v>68.66984000000001</v>
      </c>
      <c r="N23" s="85">
        <v>29.95</v>
      </c>
      <c r="O23" s="20">
        <f t="shared" si="8"/>
        <v>35.89782082324455</v>
      </c>
      <c r="P23" s="65">
        <f t="shared" si="9"/>
        <v>5.5534</v>
      </c>
      <c r="Q23" s="58">
        <v>6616.4</v>
      </c>
      <c r="R23" s="1">
        <f t="shared" si="10"/>
        <v>5504.53008</v>
      </c>
      <c r="S23" s="4">
        <f t="shared" si="11"/>
        <v>0.8319524333474398</v>
      </c>
      <c r="T23" s="3">
        <f t="shared" si="12"/>
        <v>81.2372602739726</v>
      </c>
    </row>
    <row r="24" spans="1:20" ht="12.75">
      <c r="A24" s="61" t="s">
        <v>49</v>
      </c>
      <c r="B24" s="85">
        <v>229.358</v>
      </c>
      <c r="C24" s="59">
        <v>0</v>
      </c>
      <c r="D24" s="2">
        <f t="shared" si="0"/>
        <v>229.358</v>
      </c>
      <c r="E24" s="67">
        <v>0.0355</v>
      </c>
      <c r="F24" s="20">
        <f t="shared" si="1"/>
        <v>8.142209</v>
      </c>
      <c r="G24" s="80">
        <f t="shared" si="2"/>
        <v>3.318193825665859</v>
      </c>
      <c r="H24" s="80">
        <f t="shared" si="3"/>
        <v>0</v>
      </c>
      <c r="I24" s="65">
        <f t="shared" si="4"/>
        <v>11.46040282566586</v>
      </c>
      <c r="J24" s="62">
        <v>991.2</v>
      </c>
      <c r="K24" s="2">
        <f t="shared" si="5"/>
        <v>11359.5512808</v>
      </c>
      <c r="L24" s="53">
        <f t="shared" si="6"/>
        <v>229.358</v>
      </c>
      <c r="M24" s="20">
        <f t="shared" si="7"/>
        <v>49.5276</v>
      </c>
      <c r="N24" s="85">
        <v>10.366</v>
      </c>
      <c r="O24" s="20">
        <f t="shared" si="8"/>
        <v>13.684193825665858</v>
      </c>
      <c r="P24" s="65">
        <f t="shared" si="9"/>
        <v>2.2237909999999985</v>
      </c>
      <c r="Q24" s="58">
        <v>663.9</v>
      </c>
      <c r="R24" s="1">
        <f t="shared" si="10"/>
        <v>2204.2216391999987</v>
      </c>
      <c r="S24" s="4">
        <f t="shared" si="11"/>
        <v>3.3201109191143225</v>
      </c>
      <c r="T24" s="3">
        <f t="shared" si="12"/>
        <v>59.137997889761856</v>
      </c>
    </row>
    <row r="25" spans="1:20" ht="12.75">
      <c r="A25" s="61" t="s">
        <v>97</v>
      </c>
      <c r="B25" s="85">
        <v>15.636</v>
      </c>
      <c r="C25" s="59">
        <v>70</v>
      </c>
      <c r="D25" s="2">
        <f t="shared" si="0"/>
        <v>85.636</v>
      </c>
      <c r="E25" s="67">
        <v>0.0588</v>
      </c>
      <c r="F25" s="20">
        <f t="shared" si="1"/>
        <v>5.0353968</v>
      </c>
      <c r="G25" s="80">
        <f t="shared" si="2"/>
        <v>0.2262108958837772</v>
      </c>
      <c r="H25" s="80">
        <f t="shared" si="3"/>
        <v>0.9505649717514124</v>
      </c>
      <c r="I25" s="65">
        <f t="shared" si="4"/>
        <v>6.21217266763519</v>
      </c>
      <c r="J25" s="62">
        <v>991.2</v>
      </c>
      <c r="K25" s="2">
        <f t="shared" si="5"/>
        <v>6157.50554816</v>
      </c>
      <c r="L25" s="53">
        <f t="shared" si="6"/>
        <v>85.636</v>
      </c>
      <c r="M25" s="20">
        <f t="shared" si="7"/>
        <v>71.90323635106732</v>
      </c>
      <c r="N25" s="85">
        <v>11.1</v>
      </c>
      <c r="O25" s="20">
        <f t="shared" si="8"/>
        <v>12.27677586763519</v>
      </c>
      <c r="P25" s="65">
        <f t="shared" si="9"/>
        <v>6.0646032</v>
      </c>
      <c r="Q25" s="58">
        <v>2905.2</v>
      </c>
      <c r="R25" s="1">
        <f t="shared" si="10"/>
        <v>6011.23469184</v>
      </c>
      <c r="S25" s="4">
        <f t="shared" si="11"/>
        <v>2.069129385873606</v>
      </c>
      <c r="T25" s="3">
        <f t="shared" si="12"/>
        <v>142.0984193563455</v>
      </c>
    </row>
    <row r="26" spans="1:19" ht="12.75">
      <c r="A26" s="73" t="s">
        <v>17</v>
      </c>
      <c r="B26" s="88">
        <f>SUM(B6:B25)</f>
        <v>7461.261</v>
      </c>
      <c r="C26" s="74">
        <f>SUM(C6:C25)</f>
        <v>1729</v>
      </c>
      <c r="D26" s="87">
        <f>SUM(D6:D25)</f>
        <v>9190.261</v>
      </c>
      <c r="E26" s="74"/>
      <c r="F26" s="75">
        <f>SUM(F6:F25)</f>
        <v>540.0560184</v>
      </c>
      <c r="G26" s="81">
        <f>SUM(G6:G25)</f>
        <v>107.94439340193703</v>
      </c>
      <c r="H26" s="81">
        <f>SUM(H6:H25)</f>
        <v>23.47895480225989</v>
      </c>
      <c r="I26" s="76">
        <f>SUM(I6:I25)</f>
        <v>671.4793666041969</v>
      </c>
      <c r="J26" s="82">
        <v>991.2</v>
      </c>
      <c r="K26" s="73">
        <f>SUM(K6:K24)</f>
        <v>659412.8426299201</v>
      </c>
      <c r="L26" s="86">
        <f>SUM(L6:L25)</f>
        <v>9190.261</v>
      </c>
      <c r="M26" s="75">
        <f t="shared" si="7"/>
        <v>71.75126393362714</v>
      </c>
      <c r="N26" s="88">
        <f>SUM(N6:N25)</f>
        <v>804.0210000000001</v>
      </c>
      <c r="O26" s="75">
        <f>SUM(SUM(O6:O25))</f>
        <v>935.4443482041967</v>
      </c>
      <c r="P26" s="89">
        <f>SUM(P6:P25)</f>
        <v>263.96498160000004</v>
      </c>
      <c r="Q26" s="83">
        <f>Q6+Q7+Q8+Q9+Q10+Q11+Q12+Q13+Q14+Q15+Q16+Q17+Q18+Q19+Q20+Q21+Q22+Q23</f>
        <v>105007.7</v>
      </c>
      <c r="R26" s="78">
        <f t="shared" si="10"/>
        <v>261642.08976192007</v>
      </c>
      <c r="S26" s="79">
        <f t="shared" si="11"/>
        <v>2.491646705545594</v>
      </c>
    </row>
    <row r="27" spans="4:14" ht="12.75">
      <c r="D27" s="14"/>
      <c r="E27" s="14"/>
      <c r="F27" s="14"/>
      <c r="G27" s="14"/>
      <c r="H27" s="251"/>
      <c r="I27" s="251"/>
      <c r="J27" s="251"/>
      <c r="K27" s="14"/>
      <c r="L27" s="14"/>
      <c r="M27" s="90"/>
      <c r="N27" s="56"/>
    </row>
    <row r="28" ht="12.75">
      <c r="P28" t="s">
        <v>46</v>
      </c>
    </row>
    <row r="29" spans="2:15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91"/>
      <c r="N30" s="5"/>
      <c r="O30" s="5"/>
    </row>
    <row r="31" spans="1:12" ht="12.75">
      <c r="A31" s="5" t="s">
        <v>137</v>
      </c>
      <c r="B31" s="5"/>
      <c r="C31" s="5"/>
      <c r="D31" s="5" t="s">
        <v>138</v>
      </c>
      <c r="E31" s="5"/>
      <c r="F31" s="5"/>
      <c r="G31" s="5"/>
      <c r="H31" s="5"/>
      <c r="I31" s="5"/>
      <c r="J31" s="5"/>
      <c r="K31" s="5"/>
      <c r="L31" s="5"/>
    </row>
    <row r="32" spans="1:14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5"/>
      <c r="N32" s="10"/>
    </row>
    <row r="33" spans="1:14" ht="12.75">
      <c r="A33" t="s">
        <v>39</v>
      </c>
      <c r="G33" s="5"/>
      <c r="M33" s="5"/>
      <c r="N33" s="10"/>
    </row>
    <row r="34" spans="13:14" ht="12.75">
      <c r="M34" s="5"/>
      <c r="N34" s="10"/>
    </row>
    <row r="35" spans="1:14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0"/>
    </row>
    <row r="36" spans="1:1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0"/>
    </row>
  </sheetData>
  <mergeCells count="21">
    <mergeCell ref="E3:E4"/>
    <mergeCell ref="F3:F4"/>
    <mergeCell ref="G3:G4"/>
    <mergeCell ref="A3:A4"/>
    <mergeCell ref="B3:B4"/>
    <mergeCell ref="C3:C4"/>
    <mergeCell ref="D3:D4"/>
    <mergeCell ref="Q3:Q4"/>
    <mergeCell ref="K3:K4"/>
    <mergeCell ref="L3:L4"/>
    <mergeCell ref="H1:I1"/>
    <mergeCell ref="R3:R4"/>
    <mergeCell ref="H3:H4"/>
    <mergeCell ref="S3:S4"/>
    <mergeCell ref="H27:J27"/>
    <mergeCell ref="M3:M4"/>
    <mergeCell ref="N3:N4"/>
    <mergeCell ref="O3:O4"/>
    <mergeCell ref="P3:P4"/>
    <mergeCell ref="I3:I4"/>
    <mergeCell ref="J3:J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P6" sqref="P6"/>
    </sheetView>
  </sheetViews>
  <sheetFormatPr defaultColWidth="9.00390625" defaultRowHeight="12.75"/>
  <cols>
    <col min="1" max="1" width="16.625" style="245" customWidth="1"/>
    <col min="2" max="2" width="9.00390625" style="245" customWidth="1"/>
    <col min="3" max="3" width="5.125" style="245" customWidth="1"/>
    <col min="4" max="4" width="8.875" style="245" customWidth="1"/>
    <col min="5" max="5" width="6.75390625" style="245" customWidth="1"/>
    <col min="6" max="7" width="6.375" style="245" customWidth="1"/>
    <col min="8" max="8" width="6.00390625" style="245" customWidth="1"/>
    <col min="9" max="9" width="7.75390625" style="245" customWidth="1"/>
    <col min="10" max="10" width="7.875" style="245" customWidth="1"/>
    <col min="11" max="11" width="8.00390625" style="245" customWidth="1"/>
    <col min="12" max="12" width="7.625" style="245" customWidth="1"/>
    <col min="13" max="13" width="6.75390625" style="245" customWidth="1"/>
    <col min="14" max="14" width="8.00390625" style="246" customWidth="1"/>
    <col min="15" max="16384" width="9.125" style="245" customWidth="1"/>
  </cols>
  <sheetData>
    <row r="1" spans="1:14" ht="55.5" customHeight="1">
      <c r="A1" s="202" t="s">
        <v>136</v>
      </c>
      <c r="B1" s="202"/>
      <c r="C1" s="202"/>
      <c r="D1" s="202"/>
      <c r="E1" s="202"/>
      <c r="F1" s="203"/>
      <c r="G1" s="204"/>
      <c r="H1" s="239" t="s">
        <v>143</v>
      </c>
      <c r="I1" s="205">
        <v>2014</v>
      </c>
      <c r="J1" s="204"/>
      <c r="K1" s="204" t="s">
        <v>120</v>
      </c>
      <c r="L1" s="204"/>
      <c r="M1" s="204"/>
      <c r="N1" s="244"/>
    </row>
    <row r="2" spans="1:14" ht="12.7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  <c r="M2" s="208"/>
      <c r="N2" s="244"/>
    </row>
    <row r="3" spans="1:14" ht="25.5" customHeight="1">
      <c r="A3" s="280" t="s">
        <v>116</v>
      </c>
      <c r="B3" s="282" t="s">
        <v>126</v>
      </c>
      <c r="C3" s="282" t="s">
        <v>127</v>
      </c>
      <c r="D3" s="282" t="s">
        <v>104</v>
      </c>
      <c r="E3" s="282" t="s">
        <v>100</v>
      </c>
      <c r="F3" s="282" t="s">
        <v>128</v>
      </c>
      <c r="G3" s="284" t="s">
        <v>140</v>
      </c>
      <c r="H3" s="284" t="s">
        <v>131</v>
      </c>
      <c r="I3" s="282" t="s">
        <v>109</v>
      </c>
      <c r="J3" s="282" t="s">
        <v>124</v>
      </c>
      <c r="K3" s="282" t="s">
        <v>129</v>
      </c>
      <c r="L3" s="282" t="s">
        <v>133</v>
      </c>
      <c r="M3" s="282" t="s">
        <v>142</v>
      </c>
      <c r="N3" s="282" t="s">
        <v>125</v>
      </c>
    </row>
    <row r="4" spans="1:14" ht="70.5" customHeight="1">
      <c r="A4" s="281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</row>
    <row r="5" spans="1:14" s="210" customFormat="1" ht="10.5" customHeight="1">
      <c r="A5" s="149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  <c r="H5" s="149">
        <v>7</v>
      </c>
      <c r="I5" s="149">
        <v>9</v>
      </c>
      <c r="J5" s="149">
        <v>10</v>
      </c>
      <c r="K5" s="149">
        <v>11</v>
      </c>
      <c r="L5" s="149">
        <v>13</v>
      </c>
      <c r="M5" s="149">
        <v>14</v>
      </c>
      <c r="N5" s="149">
        <v>19</v>
      </c>
    </row>
    <row r="6" spans="1:14" ht="12.75">
      <c r="A6" s="41" t="s">
        <v>0</v>
      </c>
      <c r="B6" s="54">
        <v>609.609</v>
      </c>
      <c r="C6" s="41">
        <v>0</v>
      </c>
      <c r="D6" s="41">
        <v>609.609</v>
      </c>
      <c r="E6" s="216">
        <v>0.058</v>
      </c>
      <c r="F6" s="117">
        <v>35.357322</v>
      </c>
      <c r="G6" s="117">
        <v>8.407239580458183</v>
      </c>
      <c r="H6" s="117">
        <v>0</v>
      </c>
      <c r="I6" s="41">
        <v>1050.67</v>
      </c>
      <c r="J6" s="41">
        <v>70713.49473</v>
      </c>
      <c r="K6" s="54">
        <v>609.609</v>
      </c>
      <c r="L6" s="54">
        <v>58.896</v>
      </c>
      <c r="M6" s="117">
        <v>67.30323958045818</v>
      </c>
      <c r="N6" s="250">
        <v>115.99811474240046</v>
      </c>
    </row>
    <row r="7" spans="1:14" ht="12.75">
      <c r="A7" s="41" t="s">
        <v>1</v>
      </c>
      <c r="B7" s="54">
        <v>19.635</v>
      </c>
      <c r="C7" s="41">
        <v>790</v>
      </c>
      <c r="D7" s="41">
        <v>809.635</v>
      </c>
      <c r="E7" s="41">
        <v>0.0531</v>
      </c>
      <c r="F7" s="117">
        <v>42.9916185</v>
      </c>
      <c r="G7" s="117">
        <v>0.2707902100564402</v>
      </c>
      <c r="H7" s="117">
        <v>10.511578326210895</v>
      </c>
      <c r="I7" s="41">
        <v>1050.67</v>
      </c>
      <c r="J7" s="41">
        <v>94074.22700000001</v>
      </c>
      <c r="K7" s="54">
        <v>809.635</v>
      </c>
      <c r="L7" s="54">
        <v>78.755</v>
      </c>
      <c r="M7" s="117">
        <v>89.53736853626734</v>
      </c>
      <c r="N7" s="250">
        <v>116.1933797328426</v>
      </c>
    </row>
    <row r="8" spans="1:14" ht="12.75">
      <c r="A8" s="41" t="s">
        <v>2</v>
      </c>
      <c r="B8" s="54">
        <v>15.884</v>
      </c>
      <c r="C8" s="41">
        <v>416</v>
      </c>
      <c r="D8" s="41">
        <v>431.884</v>
      </c>
      <c r="E8" s="41">
        <v>0.0607</v>
      </c>
      <c r="F8" s="117">
        <v>26.2153588</v>
      </c>
      <c r="G8" s="117">
        <v>0.21905941922773087</v>
      </c>
      <c r="H8" s="117">
        <v>5.535210865447762</v>
      </c>
      <c r="I8" s="41">
        <v>1050.67</v>
      </c>
      <c r="J8" s="41">
        <v>50230.71534</v>
      </c>
      <c r="K8" s="54">
        <v>431.884</v>
      </c>
      <c r="L8" s="54">
        <v>42.054</v>
      </c>
      <c r="M8" s="117">
        <v>47.808270284675494</v>
      </c>
      <c r="N8" s="250">
        <v>116.30603435181669</v>
      </c>
    </row>
    <row r="9" spans="1:14" ht="12.75">
      <c r="A9" s="41" t="s">
        <v>3</v>
      </c>
      <c r="B9" s="54">
        <v>679.262</v>
      </c>
      <c r="C9" s="41">
        <v>0</v>
      </c>
      <c r="D9" s="41">
        <v>679.262</v>
      </c>
      <c r="E9" s="41">
        <v>0.0593</v>
      </c>
      <c r="F9" s="117">
        <v>40.280236599999995</v>
      </c>
      <c r="G9" s="117">
        <v>9.367838027163618</v>
      </c>
      <c r="H9" s="117">
        <v>0</v>
      </c>
      <c r="I9" s="41">
        <v>1050.67</v>
      </c>
      <c r="J9" s="41">
        <v>80148.08943</v>
      </c>
      <c r="K9" s="54">
        <v>679.262</v>
      </c>
      <c r="L9" s="54">
        <v>66.915</v>
      </c>
      <c r="M9" s="117">
        <v>76.28283802716362</v>
      </c>
      <c r="N9" s="250">
        <v>117.99289439126584</v>
      </c>
    </row>
    <row r="10" spans="1:14" ht="12.75">
      <c r="A10" s="41" t="s">
        <v>4</v>
      </c>
      <c r="B10" s="54">
        <v>546.271</v>
      </c>
      <c r="C10" s="41">
        <v>0</v>
      </c>
      <c r="D10" s="41">
        <v>546.271</v>
      </c>
      <c r="E10" s="216">
        <v>0.058</v>
      </c>
      <c r="F10" s="117">
        <v>31.683718</v>
      </c>
      <c r="G10" s="117">
        <v>7.53373256112766</v>
      </c>
      <c r="H10" s="117">
        <v>0</v>
      </c>
      <c r="I10" s="41">
        <v>1050.67</v>
      </c>
      <c r="J10" s="41">
        <v>60142.17115</v>
      </c>
      <c r="K10" s="54">
        <v>546.271</v>
      </c>
      <c r="L10" s="54">
        <v>49.708</v>
      </c>
      <c r="M10" s="117">
        <v>57.24173256112766</v>
      </c>
      <c r="N10" s="250">
        <v>110.09585196724704</v>
      </c>
    </row>
    <row r="11" spans="1:14" ht="12.75">
      <c r="A11" s="41" t="s">
        <v>5</v>
      </c>
      <c r="B11" s="54">
        <v>575.59</v>
      </c>
      <c r="C11" s="41">
        <v>0</v>
      </c>
      <c r="D11" s="41">
        <v>575.59</v>
      </c>
      <c r="E11" s="41">
        <v>0.0602</v>
      </c>
      <c r="F11" s="117">
        <v>34.650518</v>
      </c>
      <c r="G11" s="117">
        <v>7.938076751025536</v>
      </c>
      <c r="H11" s="117">
        <v>0</v>
      </c>
      <c r="I11" s="41">
        <v>1050.67</v>
      </c>
      <c r="J11" s="41">
        <v>72482.65193</v>
      </c>
      <c r="K11" s="54">
        <v>575.59</v>
      </c>
      <c r="L11" s="54">
        <v>61.049</v>
      </c>
      <c r="M11" s="117">
        <v>68.98707675102554</v>
      </c>
      <c r="N11" s="250">
        <v>125.92757332476242</v>
      </c>
    </row>
    <row r="12" spans="1:14" ht="12.75">
      <c r="A12" s="41" t="s">
        <v>6</v>
      </c>
      <c r="B12" s="54">
        <v>295.473</v>
      </c>
      <c r="C12" s="41">
        <v>0</v>
      </c>
      <c r="D12" s="41">
        <v>295.473</v>
      </c>
      <c r="E12" s="41">
        <v>0.0656</v>
      </c>
      <c r="F12" s="117">
        <v>19.3830288</v>
      </c>
      <c r="G12" s="117">
        <v>4.074927208352765</v>
      </c>
      <c r="H12" s="117">
        <v>0</v>
      </c>
      <c r="I12" s="41">
        <v>1050.67</v>
      </c>
      <c r="J12" s="41">
        <v>40968.69883000001</v>
      </c>
      <c r="K12" s="54">
        <v>295.473</v>
      </c>
      <c r="L12" s="54">
        <v>34.918</v>
      </c>
      <c r="M12" s="117">
        <v>38.99292720835277</v>
      </c>
      <c r="N12" s="250">
        <v>138.65462776632722</v>
      </c>
    </row>
    <row r="13" spans="1:14" ht="12.75">
      <c r="A13" s="41" t="s">
        <v>8</v>
      </c>
      <c r="B13" s="54">
        <v>387.307</v>
      </c>
      <c r="C13" s="41">
        <v>0</v>
      </c>
      <c r="D13" s="41">
        <v>387.307</v>
      </c>
      <c r="E13" s="41">
        <v>0.0607</v>
      </c>
      <c r="F13" s="117">
        <v>23.5095349</v>
      </c>
      <c r="G13" s="117">
        <v>5.341428260062627</v>
      </c>
      <c r="H13" s="117">
        <v>0</v>
      </c>
      <c r="I13" s="41">
        <v>1050.67</v>
      </c>
      <c r="J13" s="41">
        <v>48789.362080000006</v>
      </c>
      <c r="K13" s="54">
        <v>387.307</v>
      </c>
      <c r="L13" s="54">
        <v>41.095</v>
      </c>
      <c r="M13" s="117">
        <v>46.43642826006263</v>
      </c>
      <c r="N13" s="250">
        <v>125.97077274616778</v>
      </c>
    </row>
    <row r="14" spans="1:14" ht="12.75">
      <c r="A14" s="41" t="s">
        <v>9</v>
      </c>
      <c r="B14" s="54">
        <v>795.251</v>
      </c>
      <c r="C14" s="41">
        <v>0</v>
      </c>
      <c r="D14" s="41">
        <v>795.251</v>
      </c>
      <c r="E14" s="216">
        <v>0.062</v>
      </c>
      <c r="F14" s="117">
        <v>49.305561999999995</v>
      </c>
      <c r="G14" s="117">
        <v>10.96746551248251</v>
      </c>
      <c r="H14" s="117">
        <v>0</v>
      </c>
      <c r="I14" s="41">
        <v>1050.67</v>
      </c>
      <c r="J14" s="41">
        <v>113948.80261</v>
      </c>
      <c r="K14" s="54">
        <v>795.251</v>
      </c>
      <c r="L14" s="54">
        <v>97.486</v>
      </c>
      <c r="M14" s="117">
        <v>108.45346551248251</v>
      </c>
      <c r="N14" s="250">
        <v>143.28658827213044</v>
      </c>
    </row>
    <row r="15" spans="1:14" ht="12.75">
      <c r="A15" s="41" t="s">
        <v>10</v>
      </c>
      <c r="B15" s="54">
        <v>467.411</v>
      </c>
      <c r="C15" s="41">
        <v>0</v>
      </c>
      <c r="D15" s="41">
        <v>467.411</v>
      </c>
      <c r="E15" s="41">
        <v>0.0615</v>
      </c>
      <c r="F15" s="117">
        <v>28.745776499999998</v>
      </c>
      <c r="G15" s="117">
        <v>6.446158536933575</v>
      </c>
      <c r="H15" s="117">
        <v>0</v>
      </c>
      <c r="I15" s="41">
        <v>1050.67</v>
      </c>
      <c r="J15" s="41">
        <v>53742.98774</v>
      </c>
      <c r="K15" s="54">
        <v>467.411</v>
      </c>
      <c r="L15" s="54">
        <v>44.705</v>
      </c>
      <c r="M15" s="117">
        <v>51.15115853693357</v>
      </c>
      <c r="N15" s="250">
        <v>114.98015181499792</v>
      </c>
    </row>
    <row r="16" spans="1:14" ht="12.75">
      <c r="A16" s="41" t="s">
        <v>11</v>
      </c>
      <c r="B16" s="54">
        <v>310.258</v>
      </c>
      <c r="C16" s="41">
        <v>0</v>
      </c>
      <c r="D16" s="41">
        <v>310.258</v>
      </c>
      <c r="E16" s="216">
        <v>0.0625</v>
      </c>
      <c r="F16" s="117">
        <v>19.391125</v>
      </c>
      <c r="G16" s="117">
        <v>4.27883009888928</v>
      </c>
      <c r="H16" s="117">
        <v>0</v>
      </c>
      <c r="I16" s="41">
        <v>1050.67</v>
      </c>
      <c r="J16" s="41">
        <v>42276.68095000001</v>
      </c>
      <c r="K16" s="54">
        <v>310.258</v>
      </c>
      <c r="L16" s="54">
        <v>35.959</v>
      </c>
      <c r="M16" s="117">
        <v>40.23783009888928</v>
      </c>
      <c r="N16" s="250">
        <v>136.26298419380004</v>
      </c>
    </row>
    <row r="17" spans="1:14" ht="12.75">
      <c r="A17" s="41" t="s">
        <v>12</v>
      </c>
      <c r="B17" s="54">
        <v>887.677</v>
      </c>
      <c r="C17" s="41">
        <v>0</v>
      </c>
      <c r="D17" s="41">
        <v>887.677</v>
      </c>
      <c r="E17" s="216">
        <v>0.0579</v>
      </c>
      <c r="F17" s="117">
        <v>51.396498300000005</v>
      </c>
      <c r="G17" s="117">
        <v>12.242130954533772</v>
      </c>
      <c r="H17" s="117">
        <v>0</v>
      </c>
      <c r="I17" s="41">
        <v>1050.67</v>
      </c>
      <c r="J17" s="41">
        <v>75300.60582</v>
      </c>
      <c r="K17" s="54">
        <v>887.677</v>
      </c>
      <c r="L17" s="54">
        <v>59.427</v>
      </c>
      <c r="M17" s="117">
        <v>71.66913095453377</v>
      </c>
      <c r="N17" s="250">
        <v>84.82883506050061</v>
      </c>
    </row>
    <row r="18" spans="1:14" ht="12.75">
      <c r="A18" s="41" t="s">
        <v>13</v>
      </c>
      <c r="B18" s="54">
        <v>734.368</v>
      </c>
      <c r="C18" s="41">
        <v>0</v>
      </c>
      <c r="D18" s="41">
        <v>734.368</v>
      </c>
      <c r="E18" s="216">
        <v>0.047</v>
      </c>
      <c r="F18" s="117">
        <v>34.515296</v>
      </c>
      <c r="G18" s="117">
        <v>10.127815888908982</v>
      </c>
      <c r="H18" s="117">
        <v>0</v>
      </c>
      <c r="I18" s="41">
        <v>1050.67</v>
      </c>
      <c r="J18" s="41">
        <v>56231.66496000001</v>
      </c>
      <c r="K18" s="54">
        <v>734.368</v>
      </c>
      <c r="L18" s="54">
        <v>43.392</v>
      </c>
      <c r="M18" s="117">
        <v>53.51981588890899</v>
      </c>
      <c r="N18" s="250">
        <v>76.57150769096694</v>
      </c>
    </row>
    <row r="19" spans="1:14" ht="12.75">
      <c r="A19" s="41" t="s">
        <v>14</v>
      </c>
      <c r="B19" s="54">
        <v>412.675</v>
      </c>
      <c r="C19" s="41">
        <v>0</v>
      </c>
      <c r="D19" s="41">
        <v>412.675</v>
      </c>
      <c r="E19" s="216">
        <v>0.0579</v>
      </c>
      <c r="F19" s="117">
        <v>23.8938825</v>
      </c>
      <c r="G19" s="117">
        <v>5.691283419151588</v>
      </c>
      <c r="H19" s="117">
        <v>0</v>
      </c>
      <c r="I19" s="41">
        <v>1050.67</v>
      </c>
      <c r="J19" s="41">
        <v>42310.77868</v>
      </c>
      <c r="K19" s="54">
        <v>412.675</v>
      </c>
      <c r="L19" s="54">
        <v>34.579</v>
      </c>
      <c r="M19" s="117">
        <v>40.27028341915159</v>
      </c>
      <c r="N19" s="250">
        <v>102.52808791421822</v>
      </c>
    </row>
    <row r="20" spans="1:14" ht="12.75">
      <c r="A20" s="41" t="s">
        <v>15</v>
      </c>
      <c r="B20" s="54">
        <v>476.425</v>
      </c>
      <c r="C20" s="41">
        <v>0</v>
      </c>
      <c r="D20" s="41">
        <v>476.425</v>
      </c>
      <c r="E20" s="216">
        <v>0.0631</v>
      </c>
      <c r="F20" s="117">
        <v>30.062417500000002</v>
      </c>
      <c r="G20" s="117">
        <v>6.57047241284133</v>
      </c>
      <c r="H20" s="117">
        <v>0</v>
      </c>
      <c r="I20" s="41">
        <v>1050.67</v>
      </c>
      <c r="J20" s="41">
        <v>77152.24512</v>
      </c>
      <c r="K20" s="54">
        <v>476.425</v>
      </c>
      <c r="L20" s="54">
        <v>66.861</v>
      </c>
      <c r="M20" s="117">
        <v>73.43147241284133</v>
      </c>
      <c r="N20" s="250">
        <v>161.9399593220339</v>
      </c>
    </row>
    <row r="21" spans="1:14" ht="12.75">
      <c r="A21" s="41" t="s">
        <v>16</v>
      </c>
      <c r="B21" s="54">
        <v>524.204</v>
      </c>
      <c r="C21" s="41">
        <v>0</v>
      </c>
      <c r="D21" s="41">
        <v>524.204</v>
      </c>
      <c r="E21" s="216">
        <v>0.0584</v>
      </c>
      <c r="F21" s="117">
        <v>30.613513599999997</v>
      </c>
      <c r="G21" s="117">
        <v>7.22940215291195</v>
      </c>
      <c r="H21" s="117">
        <v>0</v>
      </c>
      <c r="I21" s="41">
        <v>1050.67</v>
      </c>
      <c r="J21" s="41">
        <v>59463.09118</v>
      </c>
      <c r="K21" s="54">
        <v>524.204</v>
      </c>
      <c r="L21" s="54">
        <v>49.366</v>
      </c>
      <c r="M21" s="117">
        <v>56.59540215291195</v>
      </c>
      <c r="N21" s="250">
        <v>113.43501991591062</v>
      </c>
    </row>
    <row r="22" spans="1:14" ht="12.75">
      <c r="A22" s="41" t="s">
        <v>42</v>
      </c>
      <c r="B22" s="54">
        <v>0</v>
      </c>
      <c r="C22" s="41">
        <v>480</v>
      </c>
      <c r="D22" s="41">
        <v>480</v>
      </c>
      <c r="E22" s="216">
        <v>0.0557</v>
      </c>
      <c r="F22" s="117">
        <v>26.736</v>
      </c>
      <c r="G22" s="117">
        <v>0</v>
      </c>
      <c r="H22" s="117">
        <v>6.386781767824341</v>
      </c>
      <c r="I22" s="41">
        <v>1050.67</v>
      </c>
      <c r="J22" s="41">
        <v>42671.682089999995</v>
      </c>
      <c r="K22" s="54">
        <v>480</v>
      </c>
      <c r="L22" s="54">
        <v>34.227</v>
      </c>
      <c r="M22" s="117">
        <v>40.613781767824335</v>
      </c>
      <c r="N22" s="250">
        <v>88.8993376875</v>
      </c>
    </row>
    <row r="23" spans="1:14" ht="12.75">
      <c r="A23" s="41" t="s">
        <v>49</v>
      </c>
      <c r="B23" s="54">
        <v>215.495</v>
      </c>
      <c r="C23" s="41">
        <v>0</v>
      </c>
      <c r="D23" s="41">
        <v>215.495</v>
      </c>
      <c r="E23" s="216">
        <v>0.0351</v>
      </c>
      <c r="F23" s="117">
        <v>7.5638745</v>
      </c>
      <c r="G23" s="117">
        <v>2.971934622669344</v>
      </c>
      <c r="H23" s="117">
        <v>0</v>
      </c>
      <c r="I23" s="41">
        <v>1050.67</v>
      </c>
      <c r="J23" s="41">
        <v>13089.178170000001</v>
      </c>
      <c r="K23" s="54">
        <v>215.495</v>
      </c>
      <c r="L23" s="54">
        <v>9.486</v>
      </c>
      <c r="M23" s="117">
        <v>12.457934622669345</v>
      </c>
      <c r="N23" s="250">
        <v>60.74005508248452</v>
      </c>
    </row>
    <row r="24" spans="1:14" ht="12.75">
      <c r="A24" s="41" t="s">
        <v>97</v>
      </c>
      <c r="B24" s="54">
        <v>17.869</v>
      </c>
      <c r="C24" s="41">
        <v>70</v>
      </c>
      <c r="D24" s="41">
        <v>87.869</v>
      </c>
      <c r="E24" s="216">
        <v>0.0588</v>
      </c>
      <c r="F24" s="117">
        <v>5.1666972</v>
      </c>
      <c r="G24" s="117">
        <v>0.2464349510312467</v>
      </c>
      <c r="H24" s="117">
        <v>0.9314056744743829</v>
      </c>
      <c r="I24" s="41">
        <v>1050.67</v>
      </c>
      <c r="J24" s="41">
        <v>14564.220089999999</v>
      </c>
      <c r="K24" s="54">
        <v>87.869</v>
      </c>
      <c r="L24" s="54">
        <v>12.684</v>
      </c>
      <c r="M24" s="117">
        <v>13.861840625505629</v>
      </c>
      <c r="N24" s="250">
        <v>165.7492413706768</v>
      </c>
    </row>
    <row r="25" spans="1:12" ht="12.75">
      <c r="A25" s="246"/>
      <c r="B25" s="246"/>
      <c r="C25" s="246"/>
      <c r="D25" s="14"/>
      <c r="E25" s="14"/>
      <c r="F25" s="14"/>
      <c r="G25" s="14"/>
      <c r="H25" s="251"/>
      <c r="I25" s="251"/>
      <c r="J25" s="14"/>
      <c r="K25" s="14"/>
      <c r="L25" s="56"/>
    </row>
    <row r="27" spans="2:13" ht="12.75"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</row>
    <row r="28" spans="2:13" ht="12.75"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</row>
    <row r="29" spans="1:11" ht="12.75">
      <c r="A29" s="247" t="s">
        <v>137</v>
      </c>
      <c r="B29" s="247"/>
      <c r="C29" s="247"/>
      <c r="D29" s="247" t="s">
        <v>138</v>
      </c>
      <c r="E29" s="247"/>
      <c r="F29" s="247"/>
      <c r="G29" s="247"/>
      <c r="H29" s="247"/>
      <c r="I29" s="247"/>
      <c r="J29" s="247"/>
      <c r="K29" s="247"/>
    </row>
    <row r="30" spans="1:12" ht="12.75">
      <c r="A30" s="248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9"/>
    </row>
    <row r="31" spans="1:12" ht="12.75">
      <c r="A31" s="245" t="s">
        <v>39</v>
      </c>
      <c r="G31" s="247"/>
      <c r="L31" s="249"/>
    </row>
    <row r="32" ht="12.75">
      <c r="L32" s="249"/>
    </row>
    <row r="33" spans="1:12" ht="12.75">
      <c r="A33" s="247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9"/>
    </row>
    <row r="34" spans="1:12" ht="12.75">
      <c r="A34" s="247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9"/>
    </row>
  </sheetData>
  <mergeCells count="15">
    <mergeCell ref="N3:N4"/>
    <mergeCell ref="H3:H4"/>
    <mergeCell ref="L3:L4"/>
    <mergeCell ref="M3:M4"/>
    <mergeCell ref="I3:I4"/>
    <mergeCell ref="J3:J4"/>
    <mergeCell ref="K3:K4"/>
    <mergeCell ref="E3:E4"/>
    <mergeCell ref="F3:F4"/>
    <mergeCell ref="G3:G4"/>
    <mergeCell ref="H25:I25"/>
    <mergeCell ref="A3:A4"/>
    <mergeCell ref="B3:B4"/>
    <mergeCell ref="C3:C4"/>
    <mergeCell ref="D3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G25" sqref="G25"/>
    </sheetView>
  </sheetViews>
  <sheetFormatPr defaultColWidth="9.00390625" defaultRowHeight="12.75"/>
  <cols>
    <col min="1" max="1" width="16.625" style="0" customWidth="1"/>
    <col min="2" max="2" width="9.00390625" style="0" customWidth="1"/>
    <col min="3" max="3" width="5.125" style="0" customWidth="1"/>
    <col min="4" max="4" width="8.875" style="0" customWidth="1"/>
    <col min="5" max="5" width="6.75390625" style="0" customWidth="1"/>
    <col min="6" max="7" width="6.375" style="0" customWidth="1"/>
    <col min="8" max="8" width="6.00390625" style="0" customWidth="1"/>
    <col min="9" max="9" width="6.875" style="0" customWidth="1"/>
    <col min="10" max="10" width="7.75390625" style="0" customWidth="1"/>
    <col min="11" max="11" width="7.875" style="0" customWidth="1"/>
    <col min="12" max="12" width="8.00390625" style="0" customWidth="1"/>
    <col min="13" max="13" width="6.25390625" style="0" customWidth="1"/>
    <col min="14" max="14" width="7.625" style="0" customWidth="1"/>
    <col min="15" max="15" width="6.00390625" style="0" customWidth="1"/>
    <col min="16" max="16" width="6.125" style="0" customWidth="1"/>
    <col min="17" max="17" width="7.125" style="0" customWidth="1"/>
    <col min="19" max="19" width="6.875" style="3" customWidth="1"/>
    <col min="20" max="20" width="8.00390625" style="0" customWidth="1"/>
  </cols>
  <sheetData>
    <row r="1" spans="1:19" ht="55.5" customHeight="1">
      <c r="A1" s="63" t="s">
        <v>136</v>
      </c>
      <c r="B1" s="63"/>
      <c r="C1" s="63"/>
      <c r="D1" s="63"/>
      <c r="E1" s="63"/>
      <c r="F1" s="64"/>
      <c r="G1" s="16"/>
      <c r="H1" s="279" t="s">
        <v>144</v>
      </c>
      <c r="I1" s="279"/>
      <c r="J1" s="15">
        <v>2014</v>
      </c>
      <c r="K1" s="16"/>
      <c r="L1" s="16" t="s">
        <v>120</v>
      </c>
      <c r="M1" s="16"/>
      <c r="N1" s="16"/>
      <c r="O1" s="16"/>
      <c r="P1" s="16"/>
      <c r="Q1" s="16" t="s">
        <v>119</v>
      </c>
      <c r="R1" s="16"/>
      <c r="S1" s="16"/>
    </row>
    <row r="2" spans="1:1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5"/>
      <c r="N2" s="55"/>
      <c r="O2" s="17"/>
    </row>
    <row r="3" spans="1:20" ht="25.5" customHeight="1">
      <c r="A3" s="252" t="s">
        <v>116</v>
      </c>
      <c r="B3" s="270" t="s">
        <v>126</v>
      </c>
      <c r="C3" s="270" t="s">
        <v>127</v>
      </c>
      <c r="D3" s="272" t="s">
        <v>104</v>
      </c>
      <c r="E3" s="270" t="s">
        <v>100</v>
      </c>
      <c r="F3" s="272" t="s">
        <v>128</v>
      </c>
      <c r="G3" s="268" t="s">
        <v>140</v>
      </c>
      <c r="H3" s="268" t="s">
        <v>131</v>
      </c>
      <c r="I3" s="276" t="s">
        <v>132</v>
      </c>
      <c r="J3" s="278" t="s">
        <v>109</v>
      </c>
      <c r="K3" s="272" t="s">
        <v>124</v>
      </c>
      <c r="L3" s="272" t="s">
        <v>129</v>
      </c>
      <c r="M3" s="288" t="s">
        <v>125</v>
      </c>
      <c r="N3" s="270" t="s">
        <v>133</v>
      </c>
      <c r="O3" s="272" t="s">
        <v>142</v>
      </c>
      <c r="P3" s="274" t="s">
        <v>135</v>
      </c>
      <c r="Q3" s="278" t="s">
        <v>123</v>
      </c>
      <c r="R3" s="266" t="s">
        <v>115</v>
      </c>
      <c r="S3" s="243" t="s">
        <v>117</v>
      </c>
      <c r="T3" s="285" t="s">
        <v>125</v>
      </c>
    </row>
    <row r="4" spans="1:20" ht="70.5" customHeight="1">
      <c r="A4" s="253"/>
      <c r="B4" s="271"/>
      <c r="C4" s="271"/>
      <c r="D4" s="273"/>
      <c r="E4" s="271"/>
      <c r="F4" s="273"/>
      <c r="G4" s="242"/>
      <c r="H4" s="242"/>
      <c r="I4" s="277"/>
      <c r="J4" s="242"/>
      <c r="K4" s="273"/>
      <c r="L4" s="273"/>
      <c r="M4" s="289"/>
      <c r="N4" s="271"/>
      <c r="O4" s="273"/>
      <c r="P4" s="275"/>
      <c r="Q4" s="242"/>
      <c r="R4" s="267"/>
      <c r="S4" s="240"/>
      <c r="T4" s="286"/>
    </row>
    <row r="5" spans="1:20" s="72" customFormat="1" ht="10.5" customHeight="1">
      <c r="A5" s="68"/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69">
        <v>6</v>
      </c>
      <c r="H5" s="69">
        <v>7</v>
      </c>
      <c r="I5" s="69">
        <v>8</v>
      </c>
      <c r="J5" s="69">
        <v>9</v>
      </c>
      <c r="K5" s="69">
        <v>10</v>
      </c>
      <c r="L5" s="69">
        <v>11</v>
      </c>
      <c r="M5" s="69">
        <v>12</v>
      </c>
      <c r="N5" s="69">
        <v>13</v>
      </c>
      <c r="O5" s="69">
        <v>14</v>
      </c>
      <c r="P5" s="69">
        <v>15</v>
      </c>
      <c r="Q5" s="69">
        <v>16</v>
      </c>
      <c r="R5" s="69">
        <v>17</v>
      </c>
      <c r="S5" s="69">
        <v>18</v>
      </c>
      <c r="T5" s="105">
        <v>19</v>
      </c>
    </row>
    <row r="6" spans="1:20" ht="12.75">
      <c r="A6" s="61" t="s">
        <v>0</v>
      </c>
      <c r="B6" s="85">
        <v>449.336</v>
      </c>
      <c r="C6" s="59">
        <v>300</v>
      </c>
      <c r="D6" s="2">
        <f aca="true" t="shared" si="0" ref="D6:D25">B6+C6</f>
        <v>749.336</v>
      </c>
      <c r="E6" s="67">
        <v>0.0618</v>
      </c>
      <c r="F6" s="20">
        <f aca="true" t="shared" si="1" ref="F6:F24">D6*E6</f>
        <v>46.3089648</v>
      </c>
      <c r="G6" s="80">
        <f aca="true" t="shared" si="2" ref="G6:G12">B6*14.49/1050.67</f>
        <v>6.196882598722719</v>
      </c>
      <c r="H6" s="80">
        <f aca="true" t="shared" si="3" ref="H6:H24">C6*13.98/1050.67</f>
        <v>3.991738604890213</v>
      </c>
      <c r="I6" s="65">
        <f aca="true" t="shared" si="4" ref="I6:I25">F6+G6+H6</f>
        <v>56.49758600361293</v>
      </c>
      <c r="J6" s="62">
        <v>1050.67</v>
      </c>
      <c r="K6" s="2">
        <f aca="true" t="shared" si="5" ref="K6:K25">I6*J6</f>
        <v>59360.318686416</v>
      </c>
      <c r="L6" s="111">
        <f aca="true" t="shared" si="6" ref="L6:L25">D6</f>
        <v>749.336</v>
      </c>
      <c r="M6" s="112">
        <f aca="true" t="shared" si="7" ref="M6:M26">K6/L6</f>
        <v>79.21722523196003</v>
      </c>
      <c r="N6" s="85">
        <v>50.535</v>
      </c>
      <c r="O6" s="20">
        <f aca="true" t="shared" si="8" ref="O6:O25">G6+H6+N6</f>
        <v>60.72362120361293</v>
      </c>
      <c r="P6" s="65">
        <f aca="true" t="shared" si="9" ref="P6:P25">O6-I6</f>
        <v>4.226035199999998</v>
      </c>
      <c r="Q6" s="58">
        <v>9290.5</v>
      </c>
      <c r="R6" s="1">
        <f aca="true" t="shared" si="10" ref="R6:R26">P6*J6</f>
        <v>4440.168403583999</v>
      </c>
      <c r="S6" s="4">
        <f aca="true" t="shared" si="11" ref="S6:S26">R6/Q6</f>
        <v>0.4779256663886765</v>
      </c>
      <c r="T6" s="106">
        <f aca="true" t="shared" si="12" ref="T6:T25">O6*J6/D6</f>
        <v>85.1426957866698</v>
      </c>
    </row>
    <row r="7" spans="1:20" ht="12.75">
      <c r="A7" s="61" t="s">
        <v>1</v>
      </c>
      <c r="B7" s="85">
        <v>19.132</v>
      </c>
      <c r="C7" s="59">
        <v>669</v>
      </c>
      <c r="D7" s="2">
        <f t="shared" si="0"/>
        <v>688.132</v>
      </c>
      <c r="E7" s="59">
        <v>0.0561</v>
      </c>
      <c r="F7" s="20">
        <f t="shared" si="1"/>
        <v>38.604205199999996</v>
      </c>
      <c r="G7" s="80">
        <f t="shared" si="2"/>
        <v>0.2638532365062294</v>
      </c>
      <c r="H7" s="80">
        <f t="shared" si="3"/>
        <v>8.901577088905174</v>
      </c>
      <c r="I7" s="65">
        <f t="shared" si="4"/>
        <v>47.7696355254114</v>
      </c>
      <c r="J7" s="62">
        <v>1050.67</v>
      </c>
      <c r="K7" s="2">
        <f t="shared" si="5"/>
        <v>50190.122957484</v>
      </c>
      <c r="L7" s="53">
        <f t="shared" si="6"/>
        <v>688.132</v>
      </c>
      <c r="M7" s="112">
        <f t="shared" si="7"/>
        <v>72.93676643069064</v>
      </c>
      <c r="N7" s="85">
        <v>72.364</v>
      </c>
      <c r="O7" s="20">
        <f t="shared" si="8"/>
        <v>81.52943032541141</v>
      </c>
      <c r="P7" s="65">
        <f t="shared" si="9"/>
        <v>33.75979480000001</v>
      </c>
      <c r="Q7" s="58">
        <v>9725.3</v>
      </c>
      <c r="R7" s="1">
        <f t="shared" si="10"/>
        <v>35470.40360251601</v>
      </c>
      <c r="S7" s="4">
        <f t="shared" si="11"/>
        <v>3.64722976180848</v>
      </c>
      <c r="T7" s="106">
        <f t="shared" si="12"/>
        <v>124.4826959943732</v>
      </c>
    </row>
    <row r="8" spans="1:20" ht="12.75">
      <c r="A8" s="61" t="s">
        <v>2</v>
      </c>
      <c r="B8" s="85">
        <v>111.806</v>
      </c>
      <c r="C8" s="59">
        <v>291</v>
      </c>
      <c r="D8" s="2">
        <f t="shared" si="0"/>
        <v>402.806</v>
      </c>
      <c r="E8" s="59">
        <v>0.0498</v>
      </c>
      <c r="F8" s="20">
        <f t="shared" si="1"/>
        <v>20.059738799999998</v>
      </c>
      <c r="G8" s="80">
        <f t="shared" si="2"/>
        <v>1.5419388961329434</v>
      </c>
      <c r="H8" s="80">
        <f t="shared" si="3"/>
        <v>3.8719864467435063</v>
      </c>
      <c r="I8" s="65">
        <f t="shared" si="4"/>
        <v>25.473664142876448</v>
      </c>
      <c r="J8" s="62">
        <v>1050.67</v>
      </c>
      <c r="K8" s="2">
        <f t="shared" si="5"/>
        <v>26764.414704996</v>
      </c>
      <c r="L8" s="53">
        <f t="shared" si="6"/>
        <v>402.806</v>
      </c>
      <c r="M8" s="112">
        <f t="shared" si="7"/>
        <v>66.44492560934049</v>
      </c>
      <c r="N8" s="85">
        <v>27.21</v>
      </c>
      <c r="O8" s="20">
        <f t="shared" si="8"/>
        <v>32.62392534287645</v>
      </c>
      <c r="P8" s="65">
        <f t="shared" si="9"/>
        <v>7.150261199999999</v>
      </c>
      <c r="Q8" s="58">
        <v>6610</v>
      </c>
      <c r="R8" s="1">
        <f t="shared" si="10"/>
        <v>7512.564935003999</v>
      </c>
      <c r="S8" s="4">
        <f t="shared" si="11"/>
        <v>1.1365453759461421</v>
      </c>
      <c r="T8" s="106">
        <f t="shared" si="12"/>
        <v>85.09550413846864</v>
      </c>
    </row>
    <row r="9" spans="1:20" ht="12.75">
      <c r="A9" s="61" t="s">
        <v>3</v>
      </c>
      <c r="B9" s="85">
        <v>573.127</v>
      </c>
      <c r="C9" s="59">
        <v>0</v>
      </c>
      <c r="D9" s="2">
        <f t="shared" si="0"/>
        <v>573.127</v>
      </c>
      <c r="E9" s="102">
        <v>0.0593</v>
      </c>
      <c r="F9" s="20">
        <f t="shared" si="1"/>
        <v>33.9864311</v>
      </c>
      <c r="G9" s="80">
        <f t="shared" si="2"/>
        <v>7.904109025669334</v>
      </c>
      <c r="H9" s="80">
        <f t="shared" si="3"/>
        <v>0</v>
      </c>
      <c r="I9" s="65">
        <f t="shared" si="4"/>
        <v>41.89054012566933</v>
      </c>
      <c r="J9" s="62">
        <v>1050.67</v>
      </c>
      <c r="K9" s="2">
        <f t="shared" si="5"/>
        <v>44013.133793837</v>
      </c>
      <c r="L9" s="53">
        <f t="shared" si="6"/>
        <v>573.127</v>
      </c>
      <c r="M9" s="112">
        <f t="shared" si="7"/>
        <v>76.794731</v>
      </c>
      <c r="N9" s="85">
        <v>56.457</v>
      </c>
      <c r="O9" s="20">
        <f t="shared" si="8"/>
        <v>64.36110902566934</v>
      </c>
      <c r="P9" s="65">
        <f t="shared" si="9"/>
        <v>22.470568900000004</v>
      </c>
      <c r="Q9" s="58">
        <v>6343.9</v>
      </c>
      <c r="R9" s="1">
        <f t="shared" si="10"/>
        <v>23609.152626163006</v>
      </c>
      <c r="S9" s="4">
        <f t="shared" si="11"/>
        <v>3.7215518255588846</v>
      </c>
      <c r="T9" s="106">
        <f t="shared" si="12"/>
        <v>117.98831047917828</v>
      </c>
    </row>
    <row r="10" spans="1:20" ht="12.75">
      <c r="A10" s="61" t="s">
        <v>4</v>
      </c>
      <c r="B10" s="85">
        <v>460.915</v>
      </c>
      <c r="C10" s="59">
        <v>0</v>
      </c>
      <c r="D10" s="2">
        <f t="shared" si="0"/>
        <v>460.915</v>
      </c>
      <c r="E10" s="103">
        <v>0.058</v>
      </c>
      <c r="F10" s="20">
        <f t="shared" si="1"/>
        <v>26.73307</v>
      </c>
      <c r="G10" s="80">
        <f t="shared" si="2"/>
        <v>6.356570902376579</v>
      </c>
      <c r="H10" s="80">
        <f t="shared" si="3"/>
        <v>0</v>
      </c>
      <c r="I10" s="65">
        <f t="shared" si="4"/>
        <v>33.08964090237658</v>
      </c>
      <c r="J10" s="62">
        <v>1050.67</v>
      </c>
      <c r="K10" s="2">
        <f t="shared" si="5"/>
        <v>34766.29300690001</v>
      </c>
      <c r="L10" s="53">
        <f t="shared" si="6"/>
        <v>460.915</v>
      </c>
      <c r="M10" s="112">
        <f t="shared" si="7"/>
        <v>75.42886000000001</v>
      </c>
      <c r="N10" s="85">
        <v>41.939</v>
      </c>
      <c r="O10" s="20">
        <f t="shared" si="8"/>
        <v>48.29557090237658</v>
      </c>
      <c r="P10" s="65">
        <f t="shared" si="9"/>
        <v>15.205930000000002</v>
      </c>
      <c r="Q10" s="58">
        <v>5989.7</v>
      </c>
      <c r="R10" s="1">
        <f t="shared" si="10"/>
        <v>15976.414473100003</v>
      </c>
      <c r="S10" s="4">
        <f t="shared" si="11"/>
        <v>2.6673146356411848</v>
      </c>
      <c r="T10" s="106">
        <f t="shared" si="12"/>
        <v>110.09124780057061</v>
      </c>
    </row>
    <row r="11" spans="1:20" ht="12.75">
      <c r="A11" s="61" t="s">
        <v>5</v>
      </c>
      <c r="B11" s="85">
        <v>485.654</v>
      </c>
      <c r="C11" s="59">
        <v>0</v>
      </c>
      <c r="D11" s="2">
        <f t="shared" si="0"/>
        <v>485.654</v>
      </c>
      <c r="E11" s="102">
        <v>0.0602</v>
      </c>
      <c r="F11" s="20">
        <f t="shared" si="1"/>
        <v>29.2363708</v>
      </c>
      <c r="G11" s="80">
        <f t="shared" si="2"/>
        <v>6.697751396727802</v>
      </c>
      <c r="H11" s="80">
        <f t="shared" si="3"/>
        <v>0</v>
      </c>
      <c r="I11" s="65">
        <f t="shared" si="4"/>
        <v>35.9341221967278</v>
      </c>
      <c r="J11" s="62">
        <v>1050.67</v>
      </c>
      <c r="K11" s="2">
        <f t="shared" si="5"/>
        <v>37754.904168436</v>
      </c>
      <c r="L11" s="53">
        <f t="shared" si="6"/>
        <v>485.654</v>
      </c>
      <c r="M11" s="112">
        <f t="shared" si="7"/>
        <v>77.74033399999999</v>
      </c>
      <c r="N11" s="85">
        <v>51.507</v>
      </c>
      <c r="O11" s="20">
        <f t="shared" si="8"/>
        <v>58.2047513967278</v>
      </c>
      <c r="P11" s="65">
        <f t="shared" si="9"/>
        <v>22.270629200000002</v>
      </c>
      <c r="Q11" s="58">
        <v>5514.4</v>
      </c>
      <c r="R11" s="1">
        <f t="shared" si="10"/>
        <v>23399.081981564002</v>
      </c>
      <c r="S11" s="4">
        <f t="shared" si="11"/>
        <v>4.243268892638184</v>
      </c>
      <c r="T11" s="106">
        <f t="shared" si="12"/>
        <v>125.92089460809548</v>
      </c>
    </row>
    <row r="12" spans="1:20" ht="12.75">
      <c r="A12" s="61" t="s">
        <v>6</v>
      </c>
      <c r="B12" s="85">
        <v>273.569</v>
      </c>
      <c r="C12" s="59">
        <v>0</v>
      </c>
      <c r="D12" s="2">
        <f t="shared" si="0"/>
        <v>273.569</v>
      </c>
      <c r="E12" s="59">
        <v>0.0587</v>
      </c>
      <c r="F12" s="20">
        <f t="shared" si="1"/>
        <v>16.058500300000002</v>
      </c>
      <c r="G12" s="80">
        <f t="shared" si="2"/>
        <v>3.772844765720921</v>
      </c>
      <c r="H12" s="80">
        <f t="shared" si="3"/>
        <v>0</v>
      </c>
      <c r="I12" s="65">
        <f t="shared" si="4"/>
        <v>19.831345065720924</v>
      </c>
      <c r="J12" s="62">
        <v>1050.67</v>
      </c>
      <c r="K12" s="2">
        <f t="shared" si="5"/>
        <v>20836.199320201005</v>
      </c>
      <c r="L12" s="53">
        <f t="shared" si="6"/>
        <v>273.569</v>
      </c>
      <c r="M12" s="112">
        <f t="shared" si="7"/>
        <v>76.16432900000001</v>
      </c>
      <c r="N12" s="85">
        <v>37.232</v>
      </c>
      <c r="O12" s="20">
        <f t="shared" si="8"/>
        <v>41.00484476572092</v>
      </c>
      <c r="P12" s="65">
        <f t="shared" si="9"/>
        <v>21.173499699999994</v>
      </c>
      <c r="Q12" s="58">
        <v>7253</v>
      </c>
      <c r="R12" s="1">
        <f t="shared" si="10"/>
        <v>22246.360929798993</v>
      </c>
      <c r="S12" s="4">
        <f t="shared" si="11"/>
        <v>3.0671943926373904</v>
      </c>
      <c r="T12" s="106">
        <f t="shared" si="12"/>
        <v>157.48334149702634</v>
      </c>
    </row>
    <row r="13" spans="1:20" ht="12.75">
      <c r="A13" s="61" t="s">
        <v>7</v>
      </c>
      <c r="B13" s="85">
        <v>0</v>
      </c>
      <c r="C13" s="59">
        <v>0</v>
      </c>
      <c r="D13" s="2">
        <f t="shared" si="0"/>
        <v>0</v>
      </c>
      <c r="E13" s="59">
        <v>0.0299</v>
      </c>
      <c r="F13" s="20">
        <f t="shared" si="1"/>
        <v>0</v>
      </c>
      <c r="G13" s="80">
        <f>B13*14.49/1348.12</f>
        <v>0</v>
      </c>
      <c r="H13" s="80">
        <f t="shared" si="3"/>
        <v>0</v>
      </c>
      <c r="I13" s="65">
        <f t="shared" si="4"/>
        <v>0</v>
      </c>
      <c r="J13" s="62">
        <v>1348.12</v>
      </c>
      <c r="K13" s="2">
        <f t="shared" si="5"/>
        <v>0</v>
      </c>
      <c r="L13" s="53">
        <f t="shared" si="6"/>
        <v>0</v>
      </c>
      <c r="M13" s="112" t="e">
        <f t="shared" si="7"/>
        <v>#DIV/0!</v>
      </c>
      <c r="N13" s="85">
        <v>0</v>
      </c>
      <c r="O13" s="20">
        <f t="shared" si="8"/>
        <v>0</v>
      </c>
      <c r="P13" s="65">
        <f t="shared" si="9"/>
        <v>0</v>
      </c>
      <c r="Q13" s="58">
        <v>760.9</v>
      </c>
      <c r="R13" s="1">
        <f t="shared" si="10"/>
        <v>0</v>
      </c>
      <c r="S13" s="4">
        <f t="shared" si="11"/>
        <v>0</v>
      </c>
      <c r="T13" s="106" t="e">
        <f t="shared" si="12"/>
        <v>#DIV/0!</v>
      </c>
    </row>
    <row r="14" spans="1:20" ht="12.75">
      <c r="A14" s="61" t="s">
        <v>8</v>
      </c>
      <c r="B14" s="85">
        <v>380.93</v>
      </c>
      <c r="C14" s="59">
        <v>0</v>
      </c>
      <c r="D14" s="2">
        <f t="shared" si="0"/>
        <v>380.93</v>
      </c>
      <c r="E14" s="59">
        <v>0.0574</v>
      </c>
      <c r="F14" s="20">
        <f t="shared" si="1"/>
        <v>21.865382</v>
      </c>
      <c r="G14" s="80">
        <f aca="true" t="shared" si="13" ref="G14:G24">B14*14.49/1050.67</f>
        <v>5.25348177829385</v>
      </c>
      <c r="H14" s="80">
        <f t="shared" si="3"/>
        <v>0</v>
      </c>
      <c r="I14" s="65">
        <f t="shared" si="4"/>
        <v>27.11886377829385</v>
      </c>
      <c r="J14" s="62">
        <v>1050.67</v>
      </c>
      <c r="K14" s="2">
        <f t="shared" si="5"/>
        <v>28492.976605940003</v>
      </c>
      <c r="L14" s="53">
        <f t="shared" si="6"/>
        <v>380.93</v>
      </c>
      <c r="M14" s="112">
        <f t="shared" si="7"/>
        <v>74.79845800000001</v>
      </c>
      <c r="N14" s="85">
        <v>33.614</v>
      </c>
      <c r="O14" s="20">
        <f t="shared" si="8"/>
        <v>38.86748177829385</v>
      </c>
      <c r="P14" s="65">
        <f t="shared" si="9"/>
        <v>11.748618</v>
      </c>
      <c r="Q14" s="58">
        <v>3718.8</v>
      </c>
      <c r="R14" s="1">
        <f t="shared" si="10"/>
        <v>12343.920474060002</v>
      </c>
      <c r="S14" s="4">
        <f t="shared" si="11"/>
        <v>3.3193289432236206</v>
      </c>
      <c r="T14" s="106">
        <f t="shared" si="12"/>
        <v>107.20315302023994</v>
      </c>
    </row>
    <row r="15" spans="1:20" ht="12.75">
      <c r="A15" s="61" t="s">
        <v>9</v>
      </c>
      <c r="B15" s="85">
        <v>820.886</v>
      </c>
      <c r="C15" s="59">
        <v>0</v>
      </c>
      <c r="D15" s="2">
        <f t="shared" si="0"/>
        <v>820.886</v>
      </c>
      <c r="E15" s="67">
        <v>0.059</v>
      </c>
      <c r="F15" s="20">
        <f t="shared" si="1"/>
        <v>48.43227399999999</v>
      </c>
      <c r="G15" s="80">
        <f t="shared" si="13"/>
        <v>11.321002921945043</v>
      </c>
      <c r="H15" s="80">
        <f t="shared" si="3"/>
        <v>0</v>
      </c>
      <c r="I15" s="65">
        <f t="shared" si="4"/>
        <v>59.75327692194504</v>
      </c>
      <c r="J15" s="62">
        <v>1050.67</v>
      </c>
      <c r="K15" s="2">
        <f t="shared" si="5"/>
        <v>62780.97546358</v>
      </c>
      <c r="L15" s="53">
        <f t="shared" si="6"/>
        <v>820.886</v>
      </c>
      <c r="M15" s="112">
        <f t="shared" si="7"/>
        <v>76.47953</v>
      </c>
      <c r="N15" s="85">
        <v>84.045</v>
      </c>
      <c r="O15" s="20">
        <f t="shared" si="8"/>
        <v>95.36600292194504</v>
      </c>
      <c r="P15" s="65">
        <f t="shared" si="9"/>
        <v>35.612726</v>
      </c>
      <c r="Q15" s="58">
        <v>9274.6</v>
      </c>
      <c r="R15" s="1">
        <f t="shared" si="10"/>
        <v>37417.22282642</v>
      </c>
      <c r="S15" s="4">
        <f t="shared" si="11"/>
        <v>4.034375911243612</v>
      </c>
      <c r="T15" s="106">
        <f t="shared" si="12"/>
        <v>122.0610392795102</v>
      </c>
    </row>
    <row r="16" spans="1:20" ht="12.75">
      <c r="A16" s="61" t="s">
        <v>10</v>
      </c>
      <c r="B16" s="85">
        <v>453.747</v>
      </c>
      <c r="C16" s="59">
        <v>0</v>
      </c>
      <c r="D16" s="2">
        <f t="shared" si="0"/>
        <v>453.747</v>
      </c>
      <c r="E16" s="59">
        <v>0.0567</v>
      </c>
      <c r="F16" s="20">
        <f t="shared" si="1"/>
        <v>25.7274549</v>
      </c>
      <c r="G16" s="80">
        <f t="shared" si="13"/>
        <v>6.2577155814860985</v>
      </c>
      <c r="H16" s="80">
        <f t="shared" si="3"/>
        <v>0</v>
      </c>
      <c r="I16" s="65">
        <f t="shared" si="4"/>
        <v>31.9851704814861</v>
      </c>
      <c r="J16" s="62">
        <v>1050.67</v>
      </c>
      <c r="K16" s="2">
        <f t="shared" si="5"/>
        <v>33605.859069783</v>
      </c>
      <c r="L16" s="53">
        <f t="shared" si="6"/>
        <v>453.747</v>
      </c>
      <c r="M16" s="112">
        <f t="shared" si="7"/>
        <v>74.062989</v>
      </c>
      <c r="N16" s="85">
        <v>34.983</v>
      </c>
      <c r="O16" s="20">
        <f t="shared" si="8"/>
        <v>41.24071558148609</v>
      </c>
      <c r="P16" s="65">
        <f t="shared" si="9"/>
        <v>9.255545099999992</v>
      </c>
      <c r="Q16" s="58">
        <v>5981.3</v>
      </c>
      <c r="R16" s="1">
        <f t="shared" si="10"/>
        <v>9724.523570216992</v>
      </c>
      <c r="S16" s="4">
        <f t="shared" si="11"/>
        <v>1.625821070706534</v>
      </c>
      <c r="T16" s="106">
        <f t="shared" si="12"/>
        <v>95.49458760057917</v>
      </c>
    </row>
    <row r="17" spans="1:20" ht="12.75">
      <c r="A17" s="61" t="s">
        <v>11</v>
      </c>
      <c r="B17" s="85">
        <v>286.16</v>
      </c>
      <c r="C17" s="59">
        <v>0</v>
      </c>
      <c r="D17" s="2">
        <f t="shared" si="0"/>
        <v>286.16</v>
      </c>
      <c r="E17" s="67">
        <v>0.0615</v>
      </c>
      <c r="F17" s="20">
        <f t="shared" si="1"/>
        <v>17.598840000000003</v>
      </c>
      <c r="G17" s="80">
        <f t="shared" si="13"/>
        <v>3.9464897636746077</v>
      </c>
      <c r="H17" s="80">
        <f t="shared" si="3"/>
        <v>0</v>
      </c>
      <c r="I17" s="65">
        <f t="shared" si="4"/>
        <v>21.54532976367461</v>
      </c>
      <c r="J17" s="62">
        <v>1050.67</v>
      </c>
      <c r="K17" s="2">
        <f t="shared" si="5"/>
        <v>22637.0316228</v>
      </c>
      <c r="L17" s="53">
        <f t="shared" si="6"/>
        <v>286.16</v>
      </c>
      <c r="M17" s="112">
        <f t="shared" si="7"/>
        <v>79.106205</v>
      </c>
      <c r="N17" s="85">
        <v>28.676</v>
      </c>
      <c r="O17" s="20">
        <f t="shared" si="8"/>
        <v>32.62248976367461</v>
      </c>
      <c r="P17" s="65">
        <f t="shared" si="9"/>
        <v>11.07716</v>
      </c>
      <c r="Q17" s="58">
        <v>3323</v>
      </c>
      <c r="R17" s="1">
        <f t="shared" si="10"/>
        <v>11638.4396972</v>
      </c>
      <c r="S17" s="4">
        <f t="shared" si="11"/>
        <v>3.502389316039723</v>
      </c>
      <c r="T17" s="106">
        <f t="shared" si="12"/>
        <v>119.77729703662287</v>
      </c>
    </row>
    <row r="18" spans="1:20" ht="12.75">
      <c r="A18" s="61" t="s">
        <v>12</v>
      </c>
      <c r="B18" s="85">
        <v>748.975</v>
      </c>
      <c r="C18" s="59">
        <v>0</v>
      </c>
      <c r="D18" s="2">
        <f t="shared" si="0"/>
        <v>748.975</v>
      </c>
      <c r="E18" s="103">
        <v>0.0579</v>
      </c>
      <c r="F18" s="20">
        <f t="shared" si="1"/>
        <v>43.3656525</v>
      </c>
      <c r="G18" s="80">
        <f t="shared" si="13"/>
        <v>10.329263945863115</v>
      </c>
      <c r="H18" s="80">
        <f t="shared" si="3"/>
        <v>0</v>
      </c>
      <c r="I18" s="65">
        <f t="shared" si="4"/>
        <v>53.694916445863115</v>
      </c>
      <c r="J18" s="62">
        <v>1050.67</v>
      </c>
      <c r="K18" s="2">
        <f t="shared" si="5"/>
        <v>56415.637862175005</v>
      </c>
      <c r="L18" s="53">
        <f t="shared" si="6"/>
        <v>748.975</v>
      </c>
      <c r="M18" s="112">
        <f t="shared" si="7"/>
        <v>75.32379300000001</v>
      </c>
      <c r="N18" s="85">
        <v>50.139</v>
      </c>
      <c r="O18" s="20">
        <f t="shared" si="8"/>
        <v>60.468263945863114</v>
      </c>
      <c r="P18" s="65">
        <f t="shared" si="9"/>
        <v>6.7733475</v>
      </c>
      <c r="Q18" s="58">
        <v>6355.1</v>
      </c>
      <c r="R18" s="1">
        <f t="shared" si="10"/>
        <v>7116.553017825</v>
      </c>
      <c r="S18" s="4">
        <f t="shared" si="11"/>
        <v>1.119817629592768</v>
      </c>
      <c r="T18" s="106">
        <f t="shared" si="12"/>
        <v>84.82551604526186</v>
      </c>
    </row>
    <row r="19" spans="1:21" s="98" customFormat="1" ht="12.75">
      <c r="A19" s="61" t="s">
        <v>13</v>
      </c>
      <c r="B19" s="85">
        <v>637.983</v>
      </c>
      <c r="C19" s="59">
        <v>0</v>
      </c>
      <c r="D19" s="2">
        <f t="shared" si="0"/>
        <v>637.983</v>
      </c>
      <c r="E19" s="67">
        <v>0.0446</v>
      </c>
      <c r="F19" s="20">
        <f t="shared" si="1"/>
        <v>28.4540418</v>
      </c>
      <c r="G19" s="80">
        <f t="shared" si="13"/>
        <v>8.798551086449597</v>
      </c>
      <c r="H19" s="80">
        <f t="shared" si="3"/>
        <v>0</v>
      </c>
      <c r="I19" s="65">
        <f t="shared" si="4"/>
        <v>37.2525928864496</v>
      </c>
      <c r="J19" s="62">
        <v>1050.67</v>
      </c>
      <c r="K19" s="2">
        <f t="shared" si="5"/>
        <v>39140.181768006005</v>
      </c>
      <c r="L19" s="53">
        <f t="shared" si="6"/>
        <v>637.983</v>
      </c>
      <c r="M19" s="112">
        <f t="shared" si="7"/>
        <v>61.349882000000015</v>
      </c>
      <c r="N19" s="85">
        <v>36.665</v>
      </c>
      <c r="O19" s="20">
        <f t="shared" si="8"/>
        <v>45.4635510864496</v>
      </c>
      <c r="P19" s="65">
        <f t="shared" si="9"/>
        <v>8.2109582</v>
      </c>
      <c r="Q19" s="96">
        <v>4183.8</v>
      </c>
      <c r="R19" s="97">
        <f t="shared" si="10"/>
        <v>8627.007451994</v>
      </c>
      <c r="S19" s="25">
        <f t="shared" si="11"/>
        <v>2.0620028328299633</v>
      </c>
      <c r="T19" s="106">
        <f t="shared" si="12"/>
        <v>74.87219756639284</v>
      </c>
      <c r="U19"/>
    </row>
    <row r="20" spans="1:20" ht="12.75">
      <c r="A20" s="61" t="s">
        <v>14</v>
      </c>
      <c r="B20" s="85">
        <v>348.194</v>
      </c>
      <c r="C20" s="59">
        <v>0</v>
      </c>
      <c r="D20" s="2">
        <f t="shared" si="0"/>
        <v>348.194</v>
      </c>
      <c r="E20" s="103">
        <v>0.0579</v>
      </c>
      <c r="F20" s="20">
        <f t="shared" si="1"/>
        <v>20.1604326</v>
      </c>
      <c r="G20" s="80">
        <f t="shared" si="13"/>
        <v>4.8020130583342056</v>
      </c>
      <c r="H20" s="80">
        <f t="shared" si="3"/>
        <v>0</v>
      </c>
      <c r="I20" s="65">
        <f t="shared" si="4"/>
        <v>24.962445658334204</v>
      </c>
      <c r="J20" s="62">
        <v>1050.67</v>
      </c>
      <c r="K20" s="2">
        <f t="shared" si="5"/>
        <v>26227.292779842</v>
      </c>
      <c r="L20" s="53">
        <f t="shared" si="6"/>
        <v>348.194</v>
      </c>
      <c r="M20" s="112">
        <f t="shared" si="7"/>
        <v>75.323793</v>
      </c>
      <c r="N20" s="85">
        <v>29.173</v>
      </c>
      <c r="O20" s="20">
        <f t="shared" si="8"/>
        <v>33.975013058334206</v>
      </c>
      <c r="P20" s="65">
        <f t="shared" si="9"/>
        <v>9.012567400000002</v>
      </c>
      <c r="Q20" s="58">
        <v>3908.1</v>
      </c>
      <c r="R20" s="1">
        <f t="shared" si="10"/>
        <v>9469.234190158002</v>
      </c>
      <c r="S20" s="4">
        <f t="shared" si="11"/>
        <v>2.4229764310427067</v>
      </c>
      <c r="T20" s="106">
        <f t="shared" si="12"/>
        <v>102.51907548665399</v>
      </c>
    </row>
    <row r="21" spans="1:20" ht="12.75">
      <c r="A21" s="61" t="s">
        <v>15</v>
      </c>
      <c r="B21" s="85">
        <v>463.344</v>
      </c>
      <c r="C21" s="59">
        <v>0</v>
      </c>
      <c r="D21" s="2">
        <f t="shared" si="0"/>
        <v>463.344</v>
      </c>
      <c r="E21" s="67">
        <v>0.0588</v>
      </c>
      <c r="F21" s="20">
        <f t="shared" si="1"/>
        <v>27.2446272</v>
      </c>
      <c r="G21" s="80">
        <f t="shared" si="13"/>
        <v>6.390069726936145</v>
      </c>
      <c r="H21" s="80">
        <f t="shared" si="3"/>
        <v>0</v>
      </c>
      <c r="I21" s="65">
        <f t="shared" si="4"/>
        <v>33.634696926936144</v>
      </c>
      <c r="J21" s="62">
        <v>1050.67</v>
      </c>
      <c r="K21" s="2">
        <f t="shared" si="5"/>
        <v>35338.967020224</v>
      </c>
      <c r="L21" s="53">
        <f t="shared" si="6"/>
        <v>463.344</v>
      </c>
      <c r="M21" s="112">
        <f t="shared" si="7"/>
        <v>76.269396</v>
      </c>
      <c r="N21" s="85">
        <v>53.21</v>
      </c>
      <c r="O21" s="20">
        <f t="shared" si="8"/>
        <v>59.60006972693615</v>
      </c>
      <c r="P21" s="65">
        <f t="shared" si="9"/>
        <v>25.965372800000004</v>
      </c>
      <c r="Q21" s="58">
        <v>5485.5</v>
      </c>
      <c r="R21" s="1">
        <f t="shared" si="10"/>
        <v>27281.038239776008</v>
      </c>
      <c r="S21" s="4">
        <f t="shared" si="11"/>
        <v>4.9733001986648455</v>
      </c>
      <c r="T21" s="106">
        <f t="shared" si="12"/>
        <v>135.1479791688249</v>
      </c>
    </row>
    <row r="22" spans="1:20" ht="12.75">
      <c r="A22" s="61" t="s">
        <v>16</v>
      </c>
      <c r="B22" s="85">
        <v>524.643</v>
      </c>
      <c r="C22" s="59">
        <v>0</v>
      </c>
      <c r="D22" s="2">
        <f t="shared" si="0"/>
        <v>524.643</v>
      </c>
      <c r="E22" s="67">
        <v>0.0588</v>
      </c>
      <c r="F22" s="20">
        <f t="shared" si="1"/>
        <v>30.849008400000002</v>
      </c>
      <c r="G22" s="80">
        <f t="shared" si="13"/>
        <v>7.235456489668497</v>
      </c>
      <c r="H22" s="80">
        <f t="shared" si="3"/>
        <v>0</v>
      </c>
      <c r="I22" s="65">
        <f t="shared" si="4"/>
        <v>38.084464889668496</v>
      </c>
      <c r="J22" s="62">
        <v>1050.67</v>
      </c>
      <c r="K22" s="2">
        <f t="shared" si="5"/>
        <v>40014.204725628</v>
      </c>
      <c r="L22" s="53">
        <f t="shared" si="6"/>
        <v>524.643</v>
      </c>
      <c r="M22" s="112">
        <f t="shared" si="7"/>
        <v>76.26939599999999</v>
      </c>
      <c r="N22" s="85">
        <v>36.955</v>
      </c>
      <c r="O22" s="20">
        <f t="shared" si="8"/>
        <v>44.19045648966849</v>
      </c>
      <c r="P22" s="65">
        <f t="shared" si="9"/>
        <v>6.105991599999996</v>
      </c>
      <c r="Q22" s="58">
        <v>4673.4</v>
      </c>
      <c r="R22" s="1">
        <f t="shared" si="10"/>
        <v>6415.382194371996</v>
      </c>
      <c r="S22" s="4">
        <f t="shared" si="11"/>
        <v>1.3727440823323482</v>
      </c>
      <c r="T22" s="106">
        <f t="shared" si="12"/>
        <v>88.4974867100104</v>
      </c>
    </row>
    <row r="23" spans="1:20" ht="12.75">
      <c r="A23" s="61" t="s">
        <v>42</v>
      </c>
      <c r="B23" s="85">
        <v>0</v>
      </c>
      <c r="C23" s="59">
        <v>324</v>
      </c>
      <c r="D23" s="2">
        <f t="shared" si="0"/>
        <v>324</v>
      </c>
      <c r="E23" s="67">
        <v>0.0603</v>
      </c>
      <c r="F23" s="20">
        <f t="shared" si="1"/>
        <v>19.5372</v>
      </c>
      <c r="G23" s="80">
        <f t="shared" si="13"/>
        <v>0</v>
      </c>
      <c r="H23" s="80">
        <f t="shared" si="3"/>
        <v>4.31107769328143</v>
      </c>
      <c r="I23" s="65">
        <f t="shared" si="4"/>
        <v>23.848277693281428</v>
      </c>
      <c r="J23" s="62">
        <v>1050.67</v>
      </c>
      <c r="K23" s="2">
        <f t="shared" si="5"/>
        <v>25056.669924</v>
      </c>
      <c r="L23" s="53">
        <f t="shared" si="6"/>
        <v>324</v>
      </c>
      <c r="M23" s="112">
        <f t="shared" si="7"/>
        <v>77.335401</v>
      </c>
      <c r="N23" s="85">
        <v>21.76</v>
      </c>
      <c r="O23" s="20">
        <f t="shared" si="8"/>
        <v>26.07107769328143</v>
      </c>
      <c r="P23" s="65">
        <f t="shared" si="9"/>
        <v>2.222800000000003</v>
      </c>
      <c r="Q23" s="58">
        <v>6616.4</v>
      </c>
      <c r="R23" s="1">
        <f t="shared" si="10"/>
        <v>2335.4292760000035</v>
      </c>
      <c r="S23" s="4">
        <f t="shared" si="11"/>
        <v>0.35297582915180514</v>
      </c>
      <c r="T23" s="106">
        <f t="shared" si="12"/>
        <v>84.54351604938273</v>
      </c>
    </row>
    <row r="24" spans="1:20" ht="12.75">
      <c r="A24" s="61" t="s">
        <v>49</v>
      </c>
      <c r="B24" s="85">
        <v>49.247</v>
      </c>
      <c r="C24" s="59">
        <v>0</v>
      </c>
      <c r="D24" s="2">
        <f t="shared" si="0"/>
        <v>49.247</v>
      </c>
      <c r="E24" s="67">
        <v>0.0477</v>
      </c>
      <c r="F24" s="20">
        <f t="shared" si="1"/>
        <v>2.3490819</v>
      </c>
      <c r="G24" s="80">
        <f t="shared" si="13"/>
        <v>0.6791752215253124</v>
      </c>
      <c r="H24" s="80">
        <f t="shared" si="3"/>
        <v>0</v>
      </c>
      <c r="I24" s="65">
        <f t="shared" si="4"/>
        <v>3.0282571215253125</v>
      </c>
      <c r="J24" s="62">
        <v>1050.67</v>
      </c>
      <c r="K24" s="2">
        <f t="shared" si="5"/>
        <v>3181.698909873</v>
      </c>
      <c r="L24" s="53">
        <f t="shared" si="6"/>
        <v>49.247</v>
      </c>
      <c r="M24" s="112">
        <f t="shared" si="7"/>
        <v>64.606959</v>
      </c>
      <c r="N24" s="85">
        <v>3.045</v>
      </c>
      <c r="O24" s="20">
        <f t="shared" si="8"/>
        <v>3.7241752215253126</v>
      </c>
      <c r="P24" s="65">
        <f t="shared" si="9"/>
        <v>0.6959181000000001</v>
      </c>
      <c r="Q24" s="58">
        <v>663.9</v>
      </c>
      <c r="R24" s="1">
        <f t="shared" si="10"/>
        <v>731.1802701270002</v>
      </c>
      <c r="S24" s="4">
        <f t="shared" si="11"/>
        <v>1.1013409702169006</v>
      </c>
      <c r="T24" s="106">
        <f t="shared" si="12"/>
        <v>79.45416329928727</v>
      </c>
    </row>
    <row r="25" spans="1:20" ht="12.75">
      <c r="A25" s="61" t="s">
        <v>97</v>
      </c>
      <c r="B25" s="85">
        <v>16.249</v>
      </c>
      <c r="C25" s="59">
        <v>60</v>
      </c>
      <c r="D25" s="2">
        <f t="shared" si="0"/>
        <v>76.249</v>
      </c>
      <c r="E25" s="67">
        <v>0.0626</v>
      </c>
      <c r="F25" s="20">
        <f>D25*E25</f>
        <v>4.7731874</v>
      </c>
      <c r="G25" s="80">
        <f>B25*14.49/1050.67</f>
        <v>0.22409320719160153</v>
      </c>
      <c r="H25" s="80">
        <f>C25*13.98/1050.67</f>
        <v>0.7983477209780426</v>
      </c>
      <c r="I25" s="65">
        <f t="shared" si="4"/>
        <v>5.795628328169644</v>
      </c>
      <c r="J25" s="62">
        <v>1050.67</v>
      </c>
      <c r="K25" s="2">
        <f t="shared" si="5"/>
        <v>6089.292815558</v>
      </c>
      <c r="L25" s="53">
        <f t="shared" si="6"/>
        <v>76.249</v>
      </c>
      <c r="M25" s="112">
        <f t="shared" si="7"/>
        <v>79.86062526141983</v>
      </c>
      <c r="N25" s="85">
        <v>10.6</v>
      </c>
      <c r="O25" s="20">
        <f t="shared" si="8"/>
        <v>11.622440928169643</v>
      </c>
      <c r="P25" s="65">
        <f t="shared" si="9"/>
        <v>5.826812599999999</v>
      </c>
      <c r="Q25" s="58">
        <v>2905.2</v>
      </c>
      <c r="R25" s="1">
        <f t="shared" si="10"/>
        <v>6122.057194442</v>
      </c>
      <c r="S25" s="4">
        <f t="shared" si="11"/>
        <v>2.107275641760292</v>
      </c>
      <c r="T25" s="106">
        <f t="shared" si="12"/>
        <v>160.15095293053025</v>
      </c>
    </row>
    <row r="26" spans="1:19" ht="12.75">
      <c r="A26" s="73" t="s">
        <v>17</v>
      </c>
      <c r="B26" s="88">
        <f aca="true" t="shared" si="14" ref="B26:I26">SUM(B6:B25)</f>
        <v>7103.897000000001</v>
      </c>
      <c r="C26" s="74">
        <f t="shared" si="14"/>
        <v>1644</v>
      </c>
      <c r="D26" s="87">
        <f t="shared" si="14"/>
        <v>8747.897</v>
      </c>
      <c r="E26" s="151">
        <f t="shared" si="14"/>
        <v>1.1169999999999998</v>
      </c>
      <c r="F26" s="75">
        <f t="shared" si="14"/>
        <v>501.3444637</v>
      </c>
      <c r="G26" s="81">
        <f t="shared" si="14"/>
        <v>97.9712636032246</v>
      </c>
      <c r="H26" s="81">
        <f t="shared" si="14"/>
        <v>21.874727554798366</v>
      </c>
      <c r="I26" s="76">
        <f t="shared" si="14"/>
        <v>621.1904548580228</v>
      </c>
      <c r="J26" s="62">
        <v>1050.67</v>
      </c>
      <c r="K26" s="73">
        <f>SUM(K6:K24)</f>
        <v>646576.8823901211</v>
      </c>
      <c r="L26" s="86">
        <f>SUM(L6:L25)</f>
        <v>8747.897</v>
      </c>
      <c r="M26" s="99">
        <f t="shared" si="7"/>
        <v>73.9122651295644</v>
      </c>
      <c r="N26" s="88">
        <f>SUM(N6:N25)</f>
        <v>760.109</v>
      </c>
      <c r="O26" s="100">
        <f>SUM(SUM(O6:O25))</f>
        <v>879.954991158023</v>
      </c>
      <c r="P26" s="101">
        <f>SUM(P6:P25)</f>
        <v>258.76453630000003</v>
      </c>
      <c r="Q26" s="83">
        <f>Q6+Q7+Q8+Q9+Q10+Q11+Q12+Q13+Q14+Q15+Q16+Q17+Q18+Q19+Q20+Q21+Q22+Q23</f>
        <v>105007.7</v>
      </c>
      <c r="R26" s="78">
        <f t="shared" si="10"/>
        <v>271876.13535432104</v>
      </c>
      <c r="S26" s="79">
        <f t="shared" si="11"/>
        <v>2.5891066593623235</v>
      </c>
    </row>
    <row r="27" spans="2:14" ht="21" customHeight="1">
      <c r="B27" s="10" t="s">
        <v>149</v>
      </c>
      <c r="D27" s="14"/>
      <c r="E27" s="14"/>
      <c r="F27" s="14"/>
      <c r="G27" s="115" t="s">
        <v>150</v>
      </c>
      <c r="H27" s="116"/>
      <c r="I27" s="116"/>
      <c r="J27" s="116"/>
      <c r="K27" s="14"/>
      <c r="L27" s="14"/>
      <c r="M27" s="90"/>
      <c r="N27" s="56"/>
    </row>
    <row r="28" spans="1:20" ht="12.75">
      <c r="A28" s="61" t="s">
        <v>147</v>
      </c>
      <c r="B28" s="85">
        <v>391.158</v>
      </c>
      <c r="C28" s="59">
        <v>0</v>
      </c>
      <c r="D28" s="2">
        <f>B28+C28</f>
        <v>391.158</v>
      </c>
      <c r="E28" s="67">
        <v>0.0561</v>
      </c>
      <c r="F28" s="20">
        <f>D28*E28</f>
        <v>21.9439638</v>
      </c>
      <c r="G28" s="80">
        <f>B28*12.89/1199.03</f>
        <v>4.205087962769906</v>
      </c>
      <c r="H28" s="80"/>
      <c r="I28" s="65">
        <f>F28+G28+H28</f>
        <v>26.149051762769904</v>
      </c>
      <c r="J28" s="62">
        <v>1199.03</v>
      </c>
      <c r="K28" s="2">
        <f>I28*J28</f>
        <v>31353.497535114</v>
      </c>
      <c r="L28" s="53">
        <f>D28</f>
        <v>391.158</v>
      </c>
      <c r="M28" s="112">
        <f>K28/L28</f>
        <v>80.155583</v>
      </c>
      <c r="N28" s="85">
        <v>39.282</v>
      </c>
      <c r="O28" s="20">
        <f>G28+H28+N28</f>
        <v>43.487087962769905</v>
      </c>
      <c r="P28" s="65">
        <f>O28-I28</f>
        <v>17.3380362</v>
      </c>
      <c r="Q28" s="58">
        <v>3500.4</v>
      </c>
      <c r="R28" s="1">
        <f>P28*J28</f>
        <v>20788.825544886</v>
      </c>
      <c r="S28" s="4">
        <f>R28/Q28</f>
        <v>5.938985700173123</v>
      </c>
      <c r="T28" s="106">
        <f>O28*J28/D28</f>
        <v>133.30245854616294</v>
      </c>
    </row>
    <row r="29" spans="1:20" ht="12.75">
      <c r="A29" s="61" t="s">
        <v>148</v>
      </c>
      <c r="B29" s="85">
        <v>356.856</v>
      </c>
      <c r="C29" s="59">
        <v>0</v>
      </c>
      <c r="D29" s="2">
        <f>B29+C29</f>
        <v>356.856</v>
      </c>
      <c r="E29" s="67">
        <v>0.0533</v>
      </c>
      <c r="F29" s="20">
        <f>D29*E29</f>
        <v>19.0204248</v>
      </c>
      <c r="G29" s="80">
        <f>B29*12.89/1199.03</f>
        <v>3.8363292327965106</v>
      </c>
      <c r="H29" s="80"/>
      <c r="I29" s="65">
        <f>F29+G29+H29</f>
        <v>22.856754032796513</v>
      </c>
      <c r="J29" s="62">
        <v>1199.03</v>
      </c>
      <c r="K29" s="2">
        <f>I29*J29</f>
        <v>27405.933787944003</v>
      </c>
      <c r="L29" s="53">
        <f>D29</f>
        <v>356.856</v>
      </c>
      <c r="M29" s="112">
        <f>K29/L29</f>
        <v>76.79829900000001</v>
      </c>
      <c r="N29" s="85">
        <v>32.275</v>
      </c>
      <c r="O29" s="20">
        <f>G29+H29+N29</f>
        <v>36.11132923279651</v>
      </c>
      <c r="P29" s="65">
        <f>O29-I29</f>
        <v>13.254575199999994</v>
      </c>
      <c r="Q29" s="58">
        <v>3447.5</v>
      </c>
      <c r="R29" s="1">
        <f>P29*J29</f>
        <v>15892.633302055992</v>
      </c>
      <c r="S29" s="4">
        <f>R29/Q29</f>
        <v>4.6099008852954295</v>
      </c>
      <c r="T29" s="106">
        <f>O29*J29/D29</f>
        <v>121.33344287331585</v>
      </c>
    </row>
    <row r="30" spans="1:20" ht="12.75">
      <c r="A30" s="61" t="s">
        <v>151</v>
      </c>
      <c r="B30" s="85">
        <v>105.617</v>
      </c>
      <c r="C30" s="59">
        <v>0</v>
      </c>
      <c r="D30" s="2">
        <f>B30+C30</f>
        <v>105.617</v>
      </c>
      <c r="E30" s="67">
        <v>0.0548</v>
      </c>
      <c r="F30" s="20">
        <f>D30*E30</f>
        <v>5.7878116</v>
      </c>
      <c r="G30" s="80">
        <f>B30*12.89/1199.03</f>
        <v>1.1354204064952504</v>
      </c>
      <c r="H30" s="80"/>
      <c r="I30" s="65">
        <f>F30+G30+H30</f>
        <v>6.923232006495251</v>
      </c>
      <c r="J30" s="62">
        <v>1199.03</v>
      </c>
      <c r="K30" s="2">
        <f>I30*J30</f>
        <v>8301.162872748</v>
      </c>
      <c r="L30" s="53">
        <f>D30</f>
        <v>105.617</v>
      </c>
      <c r="M30" s="112">
        <f>K30/L30</f>
        <v>78.596844</v>
      </c>
      <c r="N30" s="85">
        <v>12.084</v>
      </c>
      <c r="O30" s="20">
        <f>G30+H30+N30</f>
        <v>13.21942040649525</v>
      </c>
      <c r="P30" s="65">
        <f>O30-I30</f>
        <v>6.296188399999998</v>
      </c>
      <c r="Q30" s="58">
        <v>1478.3</v>
      </c>
      <c r="R30" s="1">
        <f>P30*J30</f>
        <v>7549.318777251998</v>
      </c>
      <c r="S30" s="4">
        <f>R30/Q30</f>
        <v>5.106756935163362</v>
      </c>
      <c r="T30" s="106">
        <f>O30*J30/D30</f>
        <v>150.07509823229213</v>
      </c>
    </row>
    <row r="31" spans="1:15" ht="12.75">
      <c r="A31" s="5"/>
      <c r="B31" s="114">
        <f>SUM(B28:B30)</f>
        <v>853.631</v>
      </c>
      <c r="C31" s="9"/>
      <c r="D31" s="5"/>
      <c r="E31" s="9"/>
      <c r="F31" s="9"/>
      <c r="G31" s="9"/>
      <c r="H31" s="113"/>
      <c r="I31" s="9"/>
      <c r="J31" s="9"/>
      <c r="K31" s="9"/>
      <c r="L31" s="9"/>
      <c r="M31" s="5"/>
      <c r="N31" s="3">
        <f>SUM(N28:N30)</f>
        <v>83.64099999999999</v>
      </c>
      <c r="O31" s="3">
        <f>SUM(O28:O30)</f>
        <v>92.81783760206166</v>
      </c>
    </row>
    <row r="32" spans="2:16" ht="12.75">
      <c r="B32">
        <f>B31*12.89</f>
        <v>11003.30359</v>
      </c>
      <c r="G32" s="5"/>
      <c r="M32" s="5"/>
      <c r="N32" s="10">
        <f>N31*1199.03</f>
        <v>100288.06822999999</v>
      </c>
      <c r="O32" s="287">
        <f>O31*1199.03</f>
        <v>111291.37181999999</v>
      </c>
      <c r="P32" s="287"/>
    </row>
    <row r="33" spans="13:16" ht="12.75">
      <c r="M33" s="5"/>
      <c r="N33" s="10"/>
      <c r="O33" s="287">
        <f>B32+N32</f>
        <v>111291.37181999999</v>
      </c>
      <c r="P33" s="287"/>
    </row>
    <row r="34" spans="15:16" ht="12.75">
      <c r="O34" s="287"/>
      <c r="P34" s="287"/>
    </row>
    <row r="35" spans="1:5" ht="12.75">
      <c r="A35" s="5" t="s">
        <v>137</v>
      </c>
      <c r="B35" s="9"/>
      <c r="C35" s="9"/>
      <c r="D35" s="5" t="s">
        <v>138</v>
      </c>
      <c r="E35" s="9"/>
    </row>
    <row r="37" ht="12.75">
      <c r="A37" t="s">
        <v>39</v>
      </c>
    </row>
  </sheetData>
  <mergeCells count="24">
    <mergeCell ref="O32:P32"/>
    <mergeCell ref="O33:P33"/>
    <mergeCell ref="O34:P34"/>
    <mergeCell ref="A3:A4"/>
    <mergeCell ref="B3:B4"/>
    <mergeCell ref="C3:C4"/>
    <mergeCell ref="D3:D4"/>
    <mergeCell ref="M3:M4"/>
    <mergeCell ref="N3:N4"/>
    <mergeCell ref="L3:L4"/>
    <mergeCell ref="H1:I1"/>
    <mergeCell ref="E3:E4"/>
    <mergeCell ref="F3:F4"/>
    <mergeCell ref="G3:G4"/>
    <mergeCell ref="T3:T4"/>
    <mergeCell ref="R3:R4"/>
    <mergeCell ref="H3:H4"/>
    <mergeCell ref="S3:S4"/>
    <mergeCell ref="P3:P4"/>
    <mergeCell ref="Q3:Q4"/>
    <mergeCell ref="O3:O4"/>
    <mergeCell ref="I3:I4"/>
    <mergeCell ref="J3:J4"/>
    <mergeCell ref="K3:K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25" sqref="A25:T25"/>
    </sheetView>
  </sheetViews>
  <sheetFormatPr defaultColWidth="9.00390625" defaultRowHeight="12.75"/>
  <cols>
    <col min="1" max="1" width="16.625" style="0" customWidth="1"/>
    <col min="2" max="2" width="9.00390625" style="0" customWidth="1"/>
    <col min="3" max="3" width="5.125" style="0" customWidth="1"/>
    <col min="4" max="4" width="8.875" style="0" customWidth="1"/>
    <col min="5" max="5" width="6.75390625" style="0" customWidth="1"/>
    <col min="6" max="7" width="6.375" style="0" customWidth="1"/>
    <col min="8" max="8" width="6.00390625" style="0" customWidth="1"/>
    <col min="9" max="9" width="6.875" style="0" customWidth="1"/>
    <col min="10" max="10" width="7.75390625" style="0" customWidth="1"/>
    <col min="11" max="11" width="7.875" style="0" customWidth="1"/>
    <col min="12" max="12" width="8.00390625" style="0" customWidth="1"/>
    <col min="13" max="13" width="6.25390625" style="0" customWidth="1"/>
    <col min="14" max="14" width="7.625" style="0" customWidth="1"/>
    <col min="15" max="15" width="6.00390625" style="0" customWidth="1"/>
    <col min="16" max="16" width="6.125" style="0" customWidth="1"/>
    <col min="17" max="17" width="7.125" style="0" customWidth="1"/>
    <col min="19" max="19" width="6.875" style="3" customWidth="1"/>
    <col min="20" max="20" width="8.00390625" style="0" customWidth="1"/>
  </cols>
  <sheetData>
    <row r="1" spans="1:19" ht="55.5" customHeight="1">
      <c r="A1" s="63" t="s">
        <v>136</v>
      </c>
      <c r="B1" s="63"/>
      <c r="C1" s="63"/>
      <c r="D1" s="63"/>
      <c r="E1" s="63"/>
      <c r="F1" s="64"/>
      <c r="G1" s="16"/>
      <c r="H1" s="279" t="s">
        <v>156</v>
      </c>
      <c r="I1" s="279"/>
      <c r="J1" s="15">
        <v>2014</v>
      </c>
      <c r="K1" s="16"/>
      <c r="L1" s="16" t="s">
        <v>120</v>
      </c>
      <c r="M1" s="16"/>
      <c r="N1" s="16"/>
      <c r="O1" s="16"/>
      <c r="P1" s="16"/>
      <c r="Q1" s="16" t="s">
        <v>119</v>
      </c>
      <c r="R1" s="16"/>
      <c r="S1" s="16"/>
    </row>
    <row r="2" spans="1:1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5"/>
      <c r="N2" s="55"/>
      <c r="O2" s="17"/>
    </row>
    <row r="3" spans="1:20" ht="25.5" customHeight="1">
      <c r="A3" s="252" t="s">
        <v>116</v>
      </c>
      <c r="B3" s="270" t="s">
        <v>126</v>
      </c>
      <c r="C3" s="270" t="s">
        <v>127</v>
      </c>
      <c r="D3" s="272" t="s">
        <v>104</v>
      </c>
      <c r="E3" s="270" t="s">
        <v>100</v>
      </c>
      <c r="F3" s="272" t="s">
        <v>128</v>
      </c>
      <c r="G3" s="268" t="s">
        <v>140</v>
      </c>
      <c r="H3" s="268" t="s">
        <v>131</v>
      </c>
      <c r="I3" s="276" t="s">
        <v>132</v>
      </c>
      <c r="J3" s="278" t="s">
        <v>109</v>
      </c>
      <c r="K3" s="272" t="s">
        <v>124</v>
      </c>
      <c r="L3" s="272" t="s">
        <v>129</v>
      </c>
      <c r="M3" s="288" t="s">
        <v>125</v>
      </c>
      <c r="N3" s="270" t="s">
        <v>133</v>
      </c>
      <c r="O3" s="272" t="s">
        <v>142</v>
      </c>
      <c r="P3" s="274" t="s">
        <v>135</v>
      </c>
      <c r="Q3" s="278" t="s">
        <v>123</v>
      </c>
      <c r="R3" s="266" t="s">
        <v>115</v>
      </c>
      <c r="S3" s="243" t="s">
        <v>117</v>
      </c>
      <c r="T3" s="285" t="s">
        <v>157</v>
      </c>
    </row>
    <row r="4" spans="1:20" ht="70.5" customHeight="1">
      <c r="A4" s="253"/>
      <c r="B4" s="271"/>
      <c r="C4" s="271"/>
      <c r="D4" s="273"/>
      <c r="E4" s="271"/>
      <c r="F4" s="273"/>
      <c r="G4" s="242"/>
      <c r="H4" s="242"/>
      <c r="I4" s="277"/>
      <c r="J4" s="242"/>
      <c r="K4" s="273"/>
      <c r="L4" s="273"/>
      <c r="M4" s="289"/>
      <c r="N4" s="271"/>
      <c r="O4" s="273"/>
      <c r="P4" s="275"/>
      <c r="Q4" s="242"/>
      <c r="R4" s="267"/>
      <c r="S4" s="240"/>
      <c r="T4" s="286"/>
    </row>
    <row r="5" spans="1:20" s="72" customFormat="1" ht="10.5" customHeight="1">
      <c r="A5" s="68"/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69">
        <v>6</v>
      </c>
      <c r="H5" s="69">
        <v>7</v>
      </c>
      <c r="I5" s="69">
        <v>8</v>
      </c>
      <c r="J5" s="69">
        <v>9</v>
      </c>
      <c r="K5" s="69">
        <v>10</v>
      </c>
      <c r="L5" s="69">
        <v>11</v>
      </c>
      <c r="M5" s="69">
        <v>12</v>
      </c>
      <c r="N5" s="69">
        <v>13</v>
      </c>
      <c r="O5" s="69">
        <v>14</v>
      </c>
      <c r="P5" s="69">
        <v>15</v>
      </c>
      <c r="Q5" s="69">
        <v>16</v>
      </c>
      <c r="R5" s="69">
        <v>17</v>
      </c>
      <c r="S5" s="69">
        <v>18</v>
      </c>
      <c r="T5" s="105">
        <v>19</v>
      </c>
    </row>
    <row r="6" spans="1:20" ht="12.75">
      <c r="A6" s="61" t="s">
        <v>0</v>
      </c>
      <c r="B6" s="85">
        <v>729.156</v>
      </c>
      <c r="C6" s="59">
        <v>260</v>
      </c>
      <c r="D6" s="2">
        <f aca="true" t="shared" si="0" ref="D6:D25">B6+C6</f>
        <v>989.156</v>
      </c>
      <c r="E6" s="67">
        <v>0.0621</v>
      </c>
      <c r="F6" s="20">
        <f aca="true" t="shared" si="1" ref="F6:F25">D6*E6</f>
        <v>61.4265876</v>
      </c>
      <c r="G6" s="80">
        <f aca="true" t="shared" si="2" ref="G6:G12">B6*14.49/1050.67</f>
        <v>10.055936155024888</v>
      </c>
      <c r="H6" s="80">
        <f aca="true" t="shared" si="3" ref="H6:H25">C6*13.98/1050.67</f>
        <v>3.459506790904851</v>
      </c>
      <c r="I6" s="65">
        <f aca="true" t="shared" si="4" ref="I6:I25">F6+G6+H6</f>
        <v>74.94203054592974</v>
      </c>
      <c r="J6" s="62">
        <v>1050.67</v>
      </c>
      <c r="K6" s="2">
        <f aca="true" t="shared" si="5" ref="K6:K25">I6*J6</f>
        <v>78739.34323369201</v>
      </c>
      <c r="L6" s="111">
        <f aca="true" t="shared" si="6" ref="L6:L25">D6</f>
        <v>989.156</v>
      </c>
      <c r="M6" s="112">
        <f aca="true" t="shared" si="7" ref="M6:M26">K6/L6</f>
        <v>79.60255332191485</v>
      </c>
      <c r="N6" s="85">
        <v>67.195</v>
      </c>
      <c r="O6" s="20">
        <f aca="true" t="shared" si="8" ref="O6:O25">G6+H6+N6</f>
        <v>80.71044294592973</v>
      </c>
      <c r="P6" s="65">
        <f aca="true" t="shared" si="9" ref="P6:P25">O6-I6</f>
        <v>5.768412399999988</v>
      </c>
      <c r="Q6" s="58">
        <v>9290.5</v>
      </c>
      <c r="R6" s="1">
        <f aca="true" t="shared" si="10" ref="R6:R26">P6*J6</f>
        <v>6060.697856307988</v>
      </c>
      <c r="S6" s="4">
        <f aca="true" t="shared" si="11" ref="S6:S26">R6/Q6</f>
        <v>0.6523543249887507</v>
      </c>
      <c r="T6" s="106">
        <f aca="true" t="shared" si="12" ref="T6:T25">O6*J6/D6</f>
        <v>85.72969389054911</v>
      </c>
    </row>
    <row r="7" spans="1:20" ht="12.75">
      <c r="A7" s="61" t="s">
        <v>1</v>
      </c>
      <c r="B7" s="85">
        <v>11.227</v>
      </c>
      <c r="C7" s="59">
        <v>1114</v>
      </c>
      <c r="D7" s="2">
        <f t="shared" si="0"/>
        <v>1125.227</v>
      </c>
      <c r="E7" s="59">
        <v>0.0521</v>
      </c>
      <c r="F7" s="20">
        <f t="shared" si="1"/>
        <v>58.624326700000005</v>
      </c>
      <c r="G7" s="80">
        <f t="shared" si="2"/>
        <v>0.1548338012887015</v>
      </c>
      <c r="H7" s="80">
        <f t="shared" si="3"/>
        <v>14.822656019492324</v>
      </c>
      <c r="I7" s="65">
        <f t="shared" si="4"/>
        <v>73.60181652078103</v>
      </c>
      <c r="J7" s="62">
        <v>1050.67</v>
      </c>
      <c r="K7" s="2">
        <f t="shared" si="5"/>
        <v>77331.22056388902</v>
      </c>
      <c r="L7" s="111">
        <f t="shared" si="6"/>
        <v>1125.227</v>
      </c>
      <c r="M7" s="112">
        <f t="shared" si="7"/>
        <v>68.72499554657772</v>
      </c>
      <c r="N7" s="85">
        <v>81.349</v>
      </c>
      <c r="O7" s="20">
        <f t="shared" si="8"/>
        <v>96.32648982078103</v>
      </c>
      <c r="P7" s="65">
        <f t="shared" si="9"/>
        <v>22.724673300000006</v>
      </c>
      <c r="Q7" s="58">
        <v>9725.3</v>
      </c>
      <c r="R7" s="1">
        <f t="shared" si="10"/>
        <v>23876.132496111008</v>
      </c>
      <c r="S7" s="4">
        <f t="shared" si="11"/>
        <v>2.4550535712123027</v>
      </c>
      <c r="T7" s="106">
        <f t="shared" si="12"/>
        <v>89.94394291996194</v>
      </c>
    </row>
    <row r="8" spans="1:20" ht="12.75">
      <c r="A8" s="61" t="s">
        <v>2</v>
      </c>
      <c r="B8" s="85">
        <v>1.941</v>
      </c>
      <c r="C8" s="59">
        <v>585</v>
      </c>
      <c r="D8" s="2">
        <f t="shared" si="0"/>
        <v>586.941</v>
      </c>
      <c r="E8" s="59">
        <v>0.0516</v>
      </c>
      <c r="F8" s="20">
        <f t="shared" si="1"/>
        <v>30.2861556</v>
      </c>
      <c r="G8" s="80">
        <f t="shared" si="2"/>
        <v>0.026768719007871165</v>
      </c>
      <c r="H8" s="80">
        <f t="shared" si="3"/>
        <v>7.783890279535915</v>
      </c>
      <c r="I8" s="65">
        <f t="shared" si="4"/>
        <v>38.09681459854379</v>
      </c>
      <c r="J8" s="62">
        <v>1050.67</v>
      </c>
      <c r="K8" s="2">
        <f t="shared" si="5"/>
        <v>40027.180194252</v>
      </c>
      <c r="L8" s="53">
        <f t="shared" si="6"/>
        <v>586.941</v>
      </c>
      <c r="M8" s="112">
        <f t="shared" si="7"/>
        <v>68.19625855793342</v>
      </c>
      <c r="N8" s="85">
        <v>48.32</v>
      </c>
      <c r="O8" s="20">
        <f t="shared" si="8"/>
        <v>56.13065899854379</v>
      </c>
      <c r="P8" s="65">
        <f t="shared" si="9"/>
        <v>18.0338444</v>
      </c>
      <c r="Q8" s="58">
        <v>6610</v>
      </c>
      <c r="R8" s="1">
        <f t="shared" si="10"/>
        <v>18947.619295748</v>
      </c>
      <c r="S8" s="4">
        <f t="shared" si="11"/>
        <v>2.866508214182754</v>
      </c>
      <c r="T8" s="106">
        <f t="shared" si="12"/>
        <v>100.47824140756907</v>
      </c>
    </row>
    <row r="9" spans="1:20" ht="12.75">
      <c r="A9" s="61" t="s">
        <v>3</v>
      </c>
      <c r="B9" s="85">
        <v>592.231</v>
      </c>
      <c r="C9" s="59">
        <v>0</v>
      </c>
      <c r="D9" s="2">
        <f t="shared" si="0"/>
        <v>592.231</v>
      </c>
      <c r="E9" s="102">
        <v>0.0593</v>
      </c>
      <c r="F9" s="20">
        <f t="shared" si="1"/>
        <v>35.1192983</v>
      </c>
      <c r="G9" s="80">
        <f t="shared" si="2"/>
        <v>8.167576108578336</v>
      </c>
      <c r="H9" s="80">
        <f t="shared" si="3"/>
        <v>0</v>
      </c>
      <c r="I9" s="65">
        <f t="shared" si="4"/>
        <v>43.286874408578335</v>
      </c>
      <c r="J9" s="62">
        <v>1050.67</v>
      </c>
      <c r="K9" s="2">
        <f t="shared" si="5"/>
        <v>45480.220334861006</v>
      </c>
      <c r="L9" s="53">
        <f t="shared" si="6"/>
        <v>592.231</v>
      </c>
      <c r="M9" s="112">
        <f t="shared" si="7"/>
        <v>76.79473100000001</v>
      </c>
      <c r="N9" s="85">
        <v>58.338</v>
      </c>
      <c r="O9" s="20">
        <f t="shared" si="8"/>
        <v>66.50557610857834</v>
      </c>
      <c r="P9" s="65">
        <f t="shared" si="9"/>
        <v>23.218701700000004</v>
      </c>
      <c r="Q9" s="58">
        <v>6343.9</v>
      </c>
      <c r="R9" s="1">
        <f t="shared" si="10"/>
        <v>24395.193315139008</v>
      </c>
      <c r="S9" s="4">
        <f t="shared" si="11"/>
        <v>3.845456787644668</v>
      </c>
      <c r="T9" s="106">
        <f t="shared" si="12"/>
        <v>117.98675457718358</v>
      </c>
    </row>
    <row r="10" spans="1:20" ht="12.75">
      <c r="A10" s="61" t="s">
        <v>4</v>
      </c>
      <c r="B10" s="85">
        <v>476.279</v>
      </c>
      <c r="C10" s="59">
        <v>0</v>
      </c>
      <c r="D10" s="2">
        <f t="shared" si="0"/>
        <v>476.279</v>
      </c>
      <c r="E10" s="103">
        <v>0.058</v>
      </c>
      <c r="F10" s="20">
        <f t="shared" si="1"/>
        <v>27.624182</v>
      </c>
      <c r="G10" s="80">
        <f t="shared" si="2"/>
        <v>6.568458897655781</v>
      </c>
      <c r="H10" s="80">
        <f t="shared" si="3"/>
        <v>0</v>
      </c>
      <c r="I10" s="65">
        <f t="shared" si="4"/>
        <v>34.192640897655785</v>
      </c>
      <c r="J10" s="62">
        <v>1050.67</v>
      </c>
      <c r="K10" s="2">
        <f t="shared" si="5"/>
        <v>35925.18201194001</v>
      </c>
      <c r="L10" s="53">
        <f t="shared" si="6"/>
        <v>476.279</v>
      </c>
      <c r="M10" s="112">
        <f t="shared" si="7"/>
        <v>75.42886000000001</v>
      </c>
      <c r="N10" s="85">
        <v>43.336</v>
      </c>
      <c r="O10" s="20">
        <f t="shared" si="8"/>
        <v>49.90445889765578</v>
      </c>
      <c r="P10" s="65">
        <f t="shared" si="9"/>
        <v>15.711817999999994</v>
      </c>
      <c r="Q10" s="58">
        <v>5989.7</v>
      </c>
      <c r="R10" s="1">
        <f t="shared" si="10"/>
        <v>16507.935818059996</v>
      </c>
      <c r="S10" s="4">
        <f t="shared" si="11"/>
        <v>2.7560538621400066</v>
      </c>
      <c r="T10" s="106">
        <f t="shared" si="12"/>
        <v>110.08908188267802</v>
      </c>
    </row>
    <row r="11" spans="1:20" ht="12.75">
      <c r="A11" s="61" t="s">
        <v>5</v>
      </c>
      <c r="B11" s="85">
        <v>501.842</v>
      </c>
      <c r="C11" s="59">
        <v>0</v>
      </c>
      <c r="D11" s="2">
        <f t="shared" si="0"/>
        <v>501.842</v>
      </c>
      <c r="E11" s="102">
        <v>0.0602</v>
      </c>
      <c r="F11" s="20">
        <f t="shared" si="1"/>
        <v>30.210888399999998</v>
      </c>
      <c r="G11" s="80">
        <f t="shared" si="2"/>
        <v>6.9210033407254405</v>
      </c>
      <c r="H11" s="80">
        <f t="shared" si="3"/>
        <v>0</v>
      </c>
      <c r="I11" s="65">
        <f t="shared" si="4"/>
        <v>37.131891740725436</v>
      </c>
      <c r="J11" s="62">
        <v>1050.67</v>
      </c>
      <c r="K11" s="2">
        <f t="shared" si="5"/>
        <v>39013.364695227996</v>
      </c>
      <c r="L11" s="53">
        <f t="shared" si="6"/>
        <v>501.842</v>
      </c>
      <c r="M11" s="112">
        <f t="shared" si="7"/>
        <v>77.74033399999999</v>
      </c>
      <c r="N11" s="85">
        <v>53.507</v>
      </c>
      <c r="O11" s="20">
        <f t="shared" si="8"/>
        <v>60.42800334072544</v>
      </c>
      <c r="P11" s="65">
        <f t="shared" si="9"/>
        <v>23.296111600000003</v>
      </c>
      <c r="Q11" s="58">
        <v>5514.4</v>
      </c>
      <c r="R11" s="1">
        <f t="shared" si="10"/>
        <v>24476.525574772004</v>
      </c>
      <c r="S11" s="4">
        <f t="shared" si="11"/>
        <v>4.438656168354129</v>
      </c>
      <c r="T11" s="106">
        <f t="shared" si="12"/>
        <v>126.5137040542641</v>
      </c>
    </row>
    <row r="12" spans="1:20" ht="12.75">
      <c r="A12" s="61" t="s">
        <v>6</v>
      </c>
      <c r="B12" s="85">
        <v>371.438</v>
      </c>
      <c r="C12" s="59">
        <v>0</v>
      </c>
      <c r="D12" s="2">
        <f t="shared" si="0"/>
        <v>371.438</v>
      </c>
      <c r="E12" s="59">
        <v>0.0536</v>
      </c>
      <c r="F12" s="20">
        <f t="shared" si="1"/>
        <v>19.9090768</v>
      </c>
      <c r="G12" s="80">
        <f t="shared" si="2"/>
        <v>5.122575708833411</v>
      </c>
      <c r="H12" s="80">
        <f t="shared" si="3"/>
        <v>0</v>
      </c>
      <c r="I12" s="65">
        <f t="shared" si="4"/>
        <v>25.03165250883341</v>
      </c>
      <c r="J12" s="62">
        <v>1050.67</v>
      </c>
      <c r="K12" s="2">
        <f t="shared" si="5"/>
        <v>26300.006341456003</v>
      </c>
      <c r="L12" s="53">
        <f t="shared" si="6"/>
        <v>371.438</v>
      </c>
      <c r="M12" s="112">
        <f t="shared" si="7"/>
        <v>70.805912</v>
      </c>
      <c r="N12" s="85">
        <v>38.021</v>
      </c>
      <c r="O12" s="20">
        <f t="shared" si="8"/>
        <v>43.14357570883341</v>
      </c>
      <c r="P12" s="65">
        <f t="shared" si="9"/>
        <v>18.1119232</v>
      </c>
      <c r="Q12" s="58">
        <v>7253</v>
      </c>
      <c r="R12" s="1">
        <f t="shared" si="10"/>
        <v>19029.654348544</v>
      </c>
      <c r="S12" s="4">
        <f t="shared" si="11"/>
        <v>2.623694243560458</v>
      </c>
      <c r="T12" s="106">
        <f t="shared" si="12"/>
        <v>122.03829627017161</v>
      </c>
    </row>
    <row r="13" spans="1:20" ht="12.75">
      <c r="A13" s="61" t="s">
        <v>7</v>
      </c>
      <c r="B13" s="85">
        <v>0</v>
      </c>
      <c r="C13" s="59">
        <v>0</v>
      </c>
      <c r="D13" s="2">
        <f t="shared" si="0"/>
        <v>0</v>
      </c>
      <c r="E13" s="59">
        <v>0.0252</v>
      </c>
      <c r="F13" s="20">
        <f t="shared" si="1"/>
        <v>0</v>
      </c>
      <c r="G13" s="80">
        <f>B13*14.49/1348.12</f>
        <v>0</v>
      </c>
      <c r="H13" s="80">
        <f t="shared" si="3"/>
        <v>0</v>
      </c>
      <c r="I13" s="65">
        <f t="shared" si="4"/>
        <v>0</v>
      </c>
      <c r="J13" s="62">
        <v>1348.12</v>
      </c>
      <c r="K13" s="2">
        <f t="shared" si="5"/>
        <v>0</v>
      </c>
      <c r="L13" s="53">
        <f t="shared" si="6"/>
        <v>0</v>
      </c>
      <c r="M13" s="112" t="e">
        <f t="shared" si="7"/>
        <v>#DIV/0!</v>
      </c>
      <c r="N13" s="85">
        <v>0</v>
      </c>
      <c r="O13" s="20">
        <f t="shared" si="8"/>
        <v>0</v>
      </c>
      <c r="P13" s="65">
        <f t="shared" si="9"/>
        <v>0</v>
      </c>
      <c r="Q13" s="58">
        <v>760.9</v>
      </c>
      <c r="R13" s="1">
        <f t="shared" si="10"/>
        <v>0</v>
      </c>
      <c r="S13" s="4">
        <f t="shared" si="11"/>
        <v>0</v>
      </c>
      <c r="T13" s="106" t="e">
        <f t="shared" si="12"/>
        <v>#DIV/0!</v>
      </c>
    </row>
    <row r="14" spans="1:20" ht="12.75">
      <c r="A14" s="61" t="s">
        <v>8</v>
      </c>
      <c r="B14" s="85">
        <v>390.066</v>
      </c>
      <c r="C14" s="59">
        <v>0</v>
      </c>
      <c r="D14" s="2">
        <f t="shared" si="0"/>
        <v>390.066</v>
      </c>
      <c r="E14" s="59">
        <v>0.0595</v>
      </c>
      <c r="F14" s="20">
        <f t="shared" si="1"/>
        <v>23.208926999999996</v>
      </c>
      <c r="G14" s="80">
        <f aca="true" t="shared" si="13" ref="G14:G25">B14*14.49/1050.67</f>
        <v>5.379478180589528</v>
      </c>
      <c r="H14" s="80">
        <f t="shared" si="3"/>
        <v>0</v>
      </c>
      <c r="I14" s="65">
        <f t="shared" si="4"/>
        <v>28.588405180589525</v>
      </c>
      <c r="J14" s="62">
        <v>1050.67</v>
      </c>
      <c r="K14" s="2">
        <f t="shared" si="5"/>
        <v>30036.979671089997</v>
      </c>
      <c r="L14" s="53">
        <f t="shared" si="6"/>
        <v>390.066</v>
      </c>
      <c r="M14" s="112">
        <f t="shared" si="7"/>
        <v>77.004865</v>
      </c>
      <c r="N14" s="85">
        <v>40.43</v>
      </c>
      <c r="O14" s="20">
        <f t="shared" si="8"/>
        <v>45.80947818058953</v>
      </c>
      <c r="P14" s="65">
        <f t="shared" si="9"/>
        <v>17.221073000000004</v>
      </c>
      <c r="Q14" s="58">
        <v>3718.8</v>
      </c>
      <c r="R14" s="1">
        <f t="shared" si="10"/>
        <v>18093.664768910006</v>
      </c>
      <c r="S14" s="4">
        <f t="shared" si="11"/>
        <v>4.865457881281598</v>
      </c>
      <c r="T14" s="106">
        <f t="shared" si="12"/>
        <v>123.3910272620531</v>
      </c>
    </row>
    <row r="15" spans="1:20" ht="12.75">
      <c r="A15" s="61" t="s">
        <v>9</v>
      </c>
      <c r="B15" s="85">
        <v>895.84</v>
      </c>
      <c r="C15" s="59">
        <v>0</v>
      </c>
      <c r="D15" s="2">
        <f t="shared" si="0"/>
        <v>895.84</v>
      </c>
      <c r="E15" s="67">
        <v>0.0601</v>
      </c>
      <c r="F15" s="20">
        <f t="shared" si="1"/>
        <v>53.839984</v>
      </c>
      <c r="G15" s="80">
        <f t="shared" si="13"/>
        <v>12.354708519325763</v>
      </c>
      <c r="H15" s="80">
        <f t="shared" si="3"/>
        <v>0</v>
      </c>
      <c r="I15" s="65">
        <f t="shared" si="4"/>
        <v>66.19469251932577</v>
      </c>
      <c r="J15" s="62">
        <v>1050.67</v>
      </c>
      <c r="K15" s="2">
        <f t="shared" si="5"/>
        <v>69548.77758928001</v>
      </c>
      <c r="L15" s="53">
        <f t="shared" si="6"/>
        <v>895.84</v>
      </c>
      <c r="M15" s="112">
        <f t="shared" si="7"/>
        <v>77.63526700000001</v>
      </c>
      <c r="N15" s="85">
        <v>100.391</v>
      </c>
      <c r="O15" s="20">
        <f t="shared" si="8"/>
        <v>112.74570851932577</v>
      </c>
      <c r="P15" s="65">
        <f t="shared" si="9"/>
        <v>46.551016000000004</v>
      </c>
      <c r="Q15" s="58">
        <v>9274.6</v>
      </c>
      <c r="R15" s="1">
        <f t="shared" si="10"/>
        <v>48909.75598072001</v>
      </c>
      <c r="S15" s="4">
        <f t="shared" si="11"/>
        <v>5.273516483807389</v>
      </c>
      <c r="T15" s="106">
        <f t="shared" si="12"/>
        <v>132.23179760894803</v>
      </c>
    </row>
    <row r="16" spans="1:20" ht="12.75">
      <c r="A16" s="61" t="s">
        <v>10</v>
      </c>
      <c r="B16" s="85">
        <v>650.646</v>
      </c>
      <c r="C16" s="59">
        <v>0</v>
      </c>
      <c r="D16" s="2">
        <f t="shared" si="0"/>
        <v>650.646</v>
      </c>
      <c r="E16" s="59">
        <v>0.0523</v>
      </c>
      <c r="F16" s="20">
        <f t="shared" si="1"/>
        <v>34.028785799999994</v>
      </c>
      <c r="G16" s="80">
        <f t="shared" si="13"/>
        <v>8.973189050796158</v>
      </c>
      <c r="H16" s="80">
        <f t="shared" si="3"/>
        <v>0</v>
      </c>
      <c r="I16" s="65">
        <f t="shared" si="4"/>
        <v>43.00197485079615</v>
      </c>
      <c r="J16" s="62">
        <v>1050.67</v>
      </c>
      <c r="K16" s="2">
        <f t="shared" si="5"/>
        <v>45180.88491648599</v>
      </c>
      <c r="L16" s="53">
        <f t="shared" si="6"/>
        <v>650.646</v>
      </c>
      <c r="M16" s="112">
        <f t="shared" si="7"/>
        <v>69.440041</v>
      </c>
      <c r="N16" s="85">
        <v>40.385</v>
      </c>
      <c r="O16" s="20">
        <f t="shared" si="8"/>
        <v>49.358189050796156</v>
      </c>
      <c r="P16" s="65">
        <f t="shared" si="9"/>
        <v>6.356214200000004</v>
      </c>
      <c r="Q16" s="58">
        <v>5981.3</v>
      </c>
      <c r="R16" s="1">
        <f t="shared" si="10"/>
        <v>6678.283573514004</v>
      </c>
      <c r="S16" s="4">
        <f t="shared" si="11"/>
        <v>1.116527105063114</v>
      </c>
      <c r="T16" s="106">
        <f t="shared" si="12"/>
        <v>79.7041225028664</v>
      </c>
    </row>
    <row r="17" spans="1:20" ht="12.75">
      <c r="A17" s="61" t="s">
        <v>11</v>
      </c>
      <c r="B17" s="85">
        <v>332.916</v>
      </c>
      <c r="C17" s="59">
        <v>0</v>
      </c>
      <c r="D17" s="2">
        <f t="shared" si="0"/>
        <v>332.916</v>
      </c>
      <c r="E17" s="67">
        <v>0.0592</v>
      </c>
      <c r="F17" s="20">
        <f t="shared" si="1"/>
        <v>19.708627200000002</v>
      </c>
      <c r="G17" s="80">
        <f t="shared" si="13"/>
        <v>4.59131110624649</v>
      </c>
      <c r="H17" s="80">
        <f t="shared" si="3"/>
        <v>0</v>
      </c>
      <c r="I17" s="65">
        <f t="shared" si="4"/>
        <v>24.299938306246492</v>
      </c>
      <c r="J17" s="62">
        <v>1050.67</v>
      </c>
      <c r="K17" s="2">
        <f t="shared" si="5"/>
        <v>25531.216180224004</v>
      </c>
      <c r="L17" s="53">
        <f t="shared" si="6"/>
        <v>332.916</v>
      </c>
      <c r="M17" s="112">
        <f t="shared" si="7"/>
        <v>76.68966400000001</v>
      </c>
      <c r="N17" s="85">
        <v>33.765</v>
      </c>
      <c r="O17" s="20">
        <f t="shared" si="8"/>
        <v>38.356311106246494</v>
      </c>
      <c r="P17" s="65">
        <f t="shared" si="9"/>
        <v>14.056372800000002</v>
      </c>
      <c r="Q17" s="58">
        <v>3323</v>
      </c>
      <c r="R17" s="1">
        <f t="shared" si="10"/>
        <v>14768.609209776003</v>
      </c>
      <c r="S17" s="4">
        <f t="shared" si="11"/>
        <v>4.444360279800182</v>
      </c>
      <c r="T17" s="106">
        <f t="shared" si="12"/>
        <v>121.05103206214181</v>
      </c>
    </row>
    <row r="18" spans="1:20" ht="12.75">
      <c r="A18" s="61" t="s">
        <v>12</v>
      </c>
      <c r="B18" s="85">
        <v>800.627</v>
      </c>
      <c r="C18" s="59">
        <v>0</v>
      </c>
      <c r="D18" s="2">
        <f t="shared" si="0"/>
        <v>800.627</v>
      </c>
      <c r="E18" s="103">
        <v>0.0579</v>
      </c>
      <c r="F18" s="20">
        <f t="shared" si="1"/>
        <v>46.3563033</v>
      </c>
      <c r="G18" s="80">
        <f t="shared" si="13"/>
        <v>11.041607003150368</v>
      </c>
      <c r="H18" s="80">
        <f t="shared" si="3"/>
        <v>0</v>
      </c>
      <c r="I18" s="65">
        <f t="shared" si="4"/>
        <v>57.39791030315037</v>
      </c>
      <c r="J18" s="62">
        <v>1050.67</v>
      </c>
      <c r="K18" s="2">
        <f t="shared" si="5"/>
        <v>60306.262418211</v>
      </c>
      <c r="L18" s="53">
        <f t="shared" si="6"/>
        <v>800.627</v>
      </c>
      <c r="M18" s="112">
        <f t="shared" si="7"/>
        <v>75.32379300000001</v>
      </c>
      <c r="N18" s="85">
        <v>53.596</v>
      </c>
      <c r="O18" s="20">
        <f t="shared" si="8"/>
        <v>64.63760700315036</v>
      </c>
      <c r="P18" s="65">
        <f t="shared" si="9"/>
        <v>7.239696699999996</v>
      </c>
      <c r="Q18" s="58">
        <v>6355.1</v>
      </c>
      <c r="R18" s="1">
        <f t="shared" si="10"/>
        <v>7606.532131788997</v>
      </c>
      <c r="S18" s="4">
        <f t="shared" si="11"/>
        <v>1.196917771835061</v>
      </c>
      <c r="T18" s="106">
        <f t="shared" si="12"/>
        <v>84.82451197623861</v>
      </c>
    </row>
    <row r="19" spans="1:21" s="98" customFormat="1" ht="12.75">
      <c r="A19" s="61" t="s">
        <v>13</v>
      </c>
      <c r="B19" s="85">
        <v>827.145</v>
      </c>
      <c r="C19" s="59">
        <v>0</v>
      </c>
      <c r="D19" s="2">
        <f t="shared" si="0"/>
        <v>827.145</v>
      </c>
      <c r="E19" s="67">
        <v>0.0461</v>
      </c>
      <c r="F19" s="20">
        <f t="shared" si="1"/>
        <v>38.1313845</v>
      </c>
      <c r="G19" s="80">
        <f t="shared" si="13"/>
        <v>11.4073220421255</v>
      </c>
      <c r="H19" s="80">
        <f t="shared" si="3"/>
        <v>0</v>
      </c>
      <c r="I19" s="65">
        <f t="shared" si="4"/>
        <v>49.5387065421255</v>
      </c>
      <c r="J19" s="62">
        <v>1050.67</v>
      </c>
      <c r="K19" s="2">
        <f t="shared" si="5"/>
        <v>52048.832802615005</v>
      </c>
      <c r="L19" s="53">
        <f t="shared" si="6"/>
        <v>827.145</v>
      </c>
      <c r="M19" s="112">
        <f t="shared" si="7"/>
        <v>62.92588700000001</v>
      </c>
      <c r="N19" s="85">
        <v>48.175</v>
      </c>
      <c r="O19" s="20">
        <f t="shared" si="8"/>
        <v>59.5823220421255</v>
      </c>
      <c r="P19" s="65">
        <f t="shared" si="9"/>
        <v>10.043615499999994</v>
      </c>
      <c r="Q19" s="96">
        <v>4183.8</v>
      </c>
      <c r="R19" s="97">
        <f t="shared" si="10"/>
        <v>10552.525497384995</v>
      </c>
      <c r="S19" s="25">
        <f t="shared" si="11"/>
        <v>2.5222346903257793</v>
      </c>
      <c r="T19" s="106">
        <f t="shared" si="12"/>
        <v>75.68365679536237</v>
      </c>
      <c r="U19"/>
    </row>
    <row r="20" spans="1:20" ht="12.75">
      <c r="A20" s="61" t="s">
        <v>14</v>
      </c>
      <c r="B20" s="85">
        <v>372.207</v>
      </c>
      <c r="C20" s="59">
        <v>0</v>
      </c>
      <c r="D20" s="2">
        <f t="shared" si="0"/>
        <v>372.207</v>
      </c>
      <c r="E20" s="103">
        <v>0.0579</v>
      </c>
      <c r="F20" s="20">
        <f t="shared" si="1"/>
        <v>21.5507853</v>
      </c>
      <c r="G20" s="80">
        <f t="shared" si="13"/>
        <v>5.133181141557292</v>
      </c>
      <c r="H20" s="80">
        <f t="shared" si="3"/>
        <v>0</v>
      </c>
      <c r="I20" s="65">
        <f t="shared" si="4"/>
        <v>26.683966441557292</v>
      </c>
      <c r="J20" s="62">
        <v>1050.67</v>
      </c>
      <c r="K20" s="2">
        <f t="shared" si="5"/>
        <v>28036.043021151003</v>
      </c>
      <c r="L20" s="53">
        <f t="shared" si="6"/>
        <v>372.207</v>
      </c>
      <c r="M20" s="112">
        <f t="shared" si="7"/>
        <v>75.32379300000001</v>
      </c>
      <c r="N20" s="85">
        <v>31.184</v>
      </c>
      <c r="O20" s="20">
        <f t="shared" si="8"/>
        <v>36.31718114155729</v>
      </c>
      <c r="P20" s="65">
        <f t="shared" si="9"/>
        <v>9.6332147</v>
      </c>
      <c r="Q20" s="58">
        <v>3908.1</v>
      </c>
      <c r="R20" s="1">
        <f t="shared" si="10"/>
        <v>10121.329688849</v>
      </c>
      <c r="S20" s="4">
        <f t="shared" si="11"/>
        <v>2.589833855031601</v>
      </c>
      <c r="T20" s="106">
        <f t="shared" si="12"/>
        <v>102.5165370613664</v>
      </c>
    </row>
    <row r="21" spans="1:20" ht="12.75">
      <c r="A21" s="61" t="s">
        <v>15</v>
      </c>
      <c r="B21" s="85">
        <v>473.155</v>
      </c>
      <c r="C21" s="59">
        <v>0</v>
      </c>
      <c r="D21" s="2">
        <f t="shared" si="0"/>
        <v>473.155</v>
      </c>
      <c r="E21" s="67">
        <v>0.0628</v>
      </c>
      <c r="F21" s="20">
        <f t="shared" si="1"/>
        <v>29.714133999999994</v>
      </c>
      <c r="G21" s="80">
        <f t="shared" si="13"/>
        <v>6.5253751891650085</v>
      </c>
      <c r="H21" s="80">
        <f t="shared" si="3"/>
        <v>0</v>
      </c>
      <c r="I21" s="65">
        <f t="shared" si="4"/>
        <v>36.239509189165005</v>
      </c>
      <c r="J21" s="62">
        <v>1050.67</v>
      </c>
      <c r="K21" s="2">
        <f t="shared" si="5"/>
        <v>38075.76511978</v>
      </c>
      <c r="L21" s="53">
        <f t="shared" si="6"/>
        <v>473.155</v>
      </c>
      <c r="M21" s="112">
        <f t="shared" si="7"/>
        <v>80.472076</v>
      </c>
      <c r="N21" s="85">
        <v>65.331</v>
      </c>
      <c r="O21" s="20">
        <f t="shared" si="8"/>
        <v>71.856375189165</v>
      </c>
      <c r="P21" s="65">
        <f t="shared" si="9"/>
        <v>35.616866</v>
      </c>
      <c r="Q21" s="58">
        <v>5485.5</v>
      </c>
      <c r="R21" s="1">
        <f t="shared" si="10"/>
        <v>37421.57260022</v>
      </c>
      <c r="S21" s="4">
        <f t="shared" si="11"/>
        <v>6.821907319336433</v>
      </c>
      <c r="T21" s="106">
        <f t="shared" si="12"/>
        <v>159.56153421183336</v>
      </c>
    </row>
    <row r="22" spans="1:20" ht="12.75">
      <c r="A22" s="61" t="s">
        <v>16</v>
      </c>
      <c r="B22" s="85">
        <v>554.69</v>
      </c>
      <c r="C22" s="59">
        <v>0</v>
      </c>
      <c r="D22" s="2">
        <f t="shared" si="0"/>
        <v>554.69</v>
      </c>
      <c r="E22" s="67">
        <v>0.0576</v>
      </c>
      <c r="F22" s="20">
        <f t="shared" si="1"/>
        <v>31.950144</v>
      </c>
      <c r="G22" s="80">
        <f t="shared" si="13"/>
        <v>7.649840673094311</v>
      </c>
      <c r="H22" s="80">
        <f t="shared" si="3"/>
        <v>0</v>
      </c>
      <c r="I22" s="65">
        <f t="shared" si="4"/>
        <v>39.59998467309431</v>
      </c>
      <c r="J22" s="62">
        <v>1050.67</v>
      </c>
      <c r="K22" s="2">
        <f t="shared" si="5"/>
        <v>41606.51589648001</v>
      </c>
      <c r="L22" s="53">
        <f t="shared" si="6"/>
        <v>554.69</v>
      </c>
      <c r="M22" s="112">
        <f t="shared" si="7"/>
        <v>75.00859200000001</v>
      </c>
      <c r="N22" s="85">
        <v>50.375</v>
      </c>
      <c r="O22" s="20">
        <f t="shared" si="8"/>
        <v>58.02484067309431</v>
      </c>
      <c r="P22" s="65">
        <f t="shared" si="9"/>
        <v>18.424856</v>
      </c>
      <c r="Q22" s="58">
        <v>4673.4</v>
      </c>
      <c r="R22" s="1">
        <f t="shared" si="10"/>
        <v>19358.443453519998</v>
      </c>
      <c r="S22" s="4">
        <f t="shared" si="11"/>
        <v>4.142261191749047</v>
      </c>
      <c r="T22" s="106">
        <f t="shared" si="12"/>
        <v>109.90816374912113</v>
      </c>
    </row>
    <row r="23" spans="1:20" ht="12.75">
      <c r="A23" s="61" t="s">
        <v>42</v>
      </c>
      <c r="B23" s="85">
        <v>0</v>
      </c>
      <c r="C23" s="59">
        <v>409</v>
      </c>
      <c r="D23" s="2">
        <f t="shared" si="0"/>
        <v>409</v>
      </c>
      <c r="E23" s="67">
        <v>0.056</v>
      </c>
      <c r="F23" s="20">
        <f t="shared" si="1"/>
        <v>22.904</v>
      </c>
      <c r="G23" s="80">
        <f t="shared" si="13"/>
        <v>0</v>
      </c>
      <c r="H23" s="80">
        <f t="shared" si="3"/>
        <v>5.442070298000324</v>
      </c>
      <c r="I23" s="65">
        <f t="shared" si="4"/>
        <v>28.346070298000324</v>
      </c>
      <c r="J23" s="62">
        <v>1050.67</v>
      </c>
      <c r="K23" s="2">
        <f t="shared" si="5"/>
        <v>29782.365680000003</v>
      </c>
      <c r="L23" s="53">
        <f t="shared" si="6"/>
        <v>409</v>
      </c>
      <c r="M23" s="112">
        <f t="shared" si="7"/>
        <v>72.81752</v>
      </c>
      <c r="N23" s="85">
        <v>27.64</v>
      </c>
      <c r="O23" s="20">
        <f t="shared" si="8"/>
        <v>33.082070298000325</v>
      </c>
      <c r="P23" s="65">
        <f t="shared" si="9"/>
        <v>4.736000000000001</v>
      </c>
      <c r="Q23" s="58">
        <v>6616.4</v>
      </c>
      <c r="R23" s="1">
        <f t="shared" si="10"/>
        <v>4975.9731200000015</v>
      </c>
      <c r="S23" s="4">
        <f t="shared" si="11"/>
        <v>0.752066549785382</v>
      </c>
      <c r="T23" s="106">
        <f t="shared" si="12"/>
        <v>84.98371344743278</v>
      </c>
    </row>
    <row r="24" spans="1:20" ht="12.75">
      <c r="A24" s="61" t="s">
        <v>49</v>
      </c>
      <c r="B24" s="85">
        <v>211.055</v>
      </c>
      <c r="C24" s="59">
        <v>0</v>
      </c>
      <c r="D24" s="2">
        <f t="shared" si="0"/>
        <v>211.055</v>
      </c>
      <c r="E24" s="67">
        <v>0.0432</v>
      </c>
      <c r="F24" s="20">
        <f t="shared" si="1"/>
        <v>9.117576000000001</v>
      </c>
      <c r="G24" s="80">
        <f t="shared" si="13"/>
        <v>2.9107016951088354</v>
      </c>
      <c r="H24" s="80">
        <f t="shared" si="3"/>
        <v>0</v>
      </c>
      <c r="I24" s="65">
        <f t="shared" si="4"/>
        <v>12.028277695108837</v>
      </c>
      <c r="J24" s="62">
        <v>1050.67</v>
      </c>
      <c r="K24" s="2">
        <f t="shared" si="5"/>
        <v>12637.750525920002</v>
      </c>
      <c r="L24" s="53">
        <f t="shared" si="6"/>
        <v>211.055</v>
      </c>
      <c r="M24" s="112">
        <f t="shared" si="7"/>
        <v>59.87894400000001</v>
      </c>
      <c r="N24" s="85">
        <v>13.347</v>
      </c>
      <c r="O24" s="20">
        <f t="shared" si="8"/>
        <v>16.257701695108835</v>
      </c>
      <c r="P24" s="65">
        <f t="shared" si="9"/>
        <v>4.229423999999998</v>
      </c>
      <c r="Q24" s="58">
        <v>663.9</v>
      </c>
      <c r="R24" s="1">
        <f t="shared" si="10"/>
        <v>4443.7289140799985</v>
      </c>
      <c r="S24" s="4">
        <f t="shared" si="11"/>
        <v>6.693370860189786</v>
      </c>
      <c r="T24" s="106">
        <f t="shared" si="12"/>
        <v>80.93378237900075</v>
      </c>
    </row>
    <row r="25" spans="1:20" ht="12.75">
      <c r="A25" s="61" t="s">
        <v>97</v>
      </c>
      <c r="B25" s="85">
        <v>20.44</v>
      </c>
      <c r="C25" s="59">
        <v>75</v>
      </c>
      <c r="D25" s="2">
        <f t="shared" si="0"/>
        <v>95.44</v>
      </c>
      <c r="E25" s="67">
        <v>0.0593</v>
      </c>
      <c r="F25" s="20">
        <f t="shared" si="1"/>
        <v>5.659592</v>
      </c>
      <c r="G25" s="80">
        <f t="shared" si="13"/>
        <v>0.2818921259767577</v>
      </c>
      <c r="H25" s="80">
        <f t="shared" si="3"/>
        <v>0.9979346512225532</v>
      </c>
      <c r="I25" s="65">
        <f t="shared" si="4"/>
        <v>6.939418777199311</v>
      </c>
      <c r="J25" s="62">
        <v>1050.67</v>
      </c>
      <c r="K25" s="2">
        <f t="shared" si="5"/>
        <v>7291.03912664</v>
      </c>
      <c r="L25" s="53">
        <f t="shared" si="6"/>
        <v>95.44</v>
      </c>
      <c r="M25" s="112">
        <f t="shared" si="7"/>
        <v>76.39395564375525</v>
      </c>
      <c r="N25" s="85">
        <v>13.1</v>
      </c>
      <c r="O25" s="20">
        <f t="shared" si="8"/>
        <v>14.37982677719931</v>
      </c>
      <c r="P25" s="65">
        <f t="shared" si="9"/>
        <v>7.440408</v>
      </c>
      <c r="Q25" s="58">
        <v>2905.2</v>
      </c>
      <c r="R25" s="1">
        <f t="shared" si="10"/>
        <v>7817.41347336</v>
      </c>
      <c r="S25" s="4">
        <f t="shared" si="11"/>
        <v>2.690834873110285</v>
      </c>
      <c r="T25" s="106">
        <f t="shared" si="12"/>
        <v>158.30314962279968</v>
      </c>
    </row>
    <row r="26" spans="1:19" ht="12.75">
      <c r="A26" s="73" t="s">
        <v>17</v>
      </c>
      <c r="B26" s="88">
        <f aca="true" t="shared" si="14" ref="B26:I26">SUM(B6:B25)</f>
        <v>8212.901000000002</v>
      </c>
      <c r="C26" s="74">
        <f t="shared" si="14"/>
        <v>2443</v>
      </c>
      <c r="D26" s="87">
        <f t="shared" si="14"/>
        <v>10655.901000000002</v>
      </c>
      <c r="E26" s="151">
        <f t="shared" si="14"/>
        <v>1.0939999999999999</v>
      </c>
      <c r="F26" s="75">
        <f t="shared" si="14"/>
        <v>599.3707585</v>
      </c>
      <c r="G26" s="81">
        <f t="shared" si="14"/>
        <v>113.26575945825043</v>
      </c>
      <c r="H26" s="81">
        <f t="shared" si="14"/>
        <v>32.50605803915597</v>
      </c>
      <c r="I26" s="76">
        <f t="shared" si="14"/>
        <v>745.1425759974065</v>
      </c>
      <c r="J26" s="62">
        <v>1050.67</v>
      </c>
      <c r="K26" s="73">
        <f>SUM(K6:K24)</f>
        <v>775607.911196555</v>
      </c>
      <c r="L26" s="152">
        <f>SUM(L6:L25)</f>
        <v>10655.901000000002</v>
      </c>
      <c r="M26" s="99">
        <f t="shared" si="7"/>
        <v>72.78670393020307</v>
      </c>
      <c r="N26" s="88">
        <f>SUM(N6:N25)</f>
        <v>907.7849999999999</v>
      </c>
      <c r="O26" s="100">
        <f>SUM(SUM(O6:O25))</f>
        <v>1053.5568174974062</v>
      </c>
      <c r="P26" s="101">
        <f>SUM(P6:P25)</f>
        <v>308.41424149999995</v>
      </c>
      <c r="Q26" s="83">
        <f>Q6+Q7+Q8+Q9+Q10+Q11+Q12+Q13+Q14+Q15+Q16+Q17+Q18+Q19+Q20+Q21+Q22+Q23</f>
        <v>105007.7</v>
      </c>
      <c r="R26" s="78">
        <f t="shared" si="10"/>
        <v>324041.591116805</v>
      </c>
      <c r="S26" s="79">
        <f t="shared" si="11"/>
        <v>3.085884093421768</v>
      </c>
    </row>
    <row r="27" spans="2:14" ht="21" customHeight="1">
      <c r="B27" s="10" t="s">
        <v>149</v>
      </c>
      <c r="D27" s="14"/>
      <c r="E27" s="14"/>
      <c r="F27" s="14"/>
      <c r="G27" s="115" t="s">
        <v>150</v>
      </c>
      <c r="H27" s="116"/>
      <c r="I27" s="116"/>
      <c r="J27" s="116"/>
      <c r="K27" s="14"/>
      <c r="L27" s="14"/>
      <c r="M27" s="90"/>
      <c r="N27" s="56"/>
    </row>
    <row r="28" spans="1:20" ht="12.75">
      <c r="A28" s="61" t="s">
        <v>147</v>
      </c>
      <c r="B28" s="85">
        <v>302.298</v>
      </c>
      <c r="C28" s="59">
        <v>0</v>
      </c>
      <c r="D28" s="2">
        <f>B28+C28</f>
        <v>302.298</v>
      </c>
      <c r="E28" s="67">
        <v>0.0535</v>
      </c>
      <c r="F28" s="20">
        <f>D28*E28</f>
        <v>16.172943</v>
      </c>
      <c r="G28" s="80">
        <f>B28*12.89/1199.03</f>
        <v>3.2498112807853015</v>
      </c>
      <c r="H28" s="80"/>
      <c r="I28" s="65">
        <f>F28+G28+H28</f>
        <v>19.422754280785302</v>
      </c>
      <c r="J28" s="62">
        <v>1199.03</v>
      </c>
      <c r="K28" s="2">
        <f>I28*J28</f>
        <v>23288.46506529</v>
      </c>
      <c r="L28" s="53">
        <f>D28</f>
        <v>302.298</v>
      </c>
      <c r="M28" s="112">
        <f>K28/L28</f>
        <v>77.038105</v>
      </c>
      <c r="N28" s="85">
        <v>29.637</v>
      </c>
      <c r="O28" s="20">
        <f>G28+H28+N28</f>
        <v>32.8868112807853</v>
      </c>
      <c r="P28" s="65">
        <f>O28-I28</f>
        <v>13.464057</v>
      </c>
      <c r="Q28" s="58">
        <v>3500.4</v>
      </c>
      <c r="R28" s="1">
        <f>P28*J28</f>
        <v>16143.80826471</v>
      </c>
      <c r="S28" s="4">
        <f>R28/Q28</f>
        <v>4.611989562538567</v>
      </c>
      <c r="T28" s="106">
        <f>O28*J28/D28</f>
        <v>130.4417274675982</v>
      </c>
    </row>
    <row r="29" spans="1:20" ht="12.75">
      <c r="A29" s="61" t="s">
        <v>148</v>
      </c>
      <c r="B29" s="85">
        <v>265.143</v>
      </c>
      <c r="C29" s="59">
        <v>0</v>
      </c>
      <c r="D29" s="2">
        <f>B29+C29</f>
        <v>265.143</v>
      </c>
      <c r="E29" s="67">
        <v>0.0512</v>
      </c>
      <c r="F29" s="20">
        <f>D29*E29</f>
        <v>13.575321599999999</v>
      </c>
      <c r="G29" s="80">
        <f>B29*12.89/1199.03</f>
        <v>2.850381783608417</v>
      </c>
      <c r="H29" s="80"/>
      <c r="I29" s="65">
        <f>F29+G29+H29</f>
        <v>16.425703383608415</v>
      </c>
      <c r="J29" s="62">
        <v>1199.03</v>
      </c>
      <c r="K29" s="2">
        <f>I29*J29</f>
        <v>19694.911128047996</v>
      </c>
      <c r="L29" s="53">
        <f>D29</f>
        <v>265.143</v>
      </c>
      <c r="M29" s="112">
        <f>K29/L29</f>
        <v>74.28033599999999</v>
      </c>
      <c r="N29" s="85">
        <v>23.712</v>
      </c>
      <c r="O29" s="20">
        <f>G29+H29+N29</f>
        <v>26.562381783608416</v>
      </c>
      <c r="P29" s="65">
        <f>O29-I29</f>
        <v>10.136678400000001</v>
      </c>
      <c r="Q29" s="58">
        <v>3447.5</v>
      </c>
      <c r="R29" s="1">
        <f>P29*J29</f>
        <v>12154.181501952002</v>
      </c>
      <c r="S29" s="4">
        <f>R29/Q29</f>
        <v>3.5255058743878176</v>
      </c>
      <c r="T29" s="106">
        <f>O29*J29/D29</f>
        <v>120.12043550084294</v>
      </c>
    </row>
    <row r="30" spans="1:20" ht="12.75">
      <c r="A30" s="61" t="s">
        <v>151</v>
      </c>
      <c r="B30" s="85">
        <v>82.156</v>
      </c>
      <c r="C30" s="59">
        <v>0</v>
      </c>
      <c r="D30" s="2">
        <f>B30+C30</f>
        <v>82.156</v>
      </c>
      <c r="E30" s="67">
        <v>0.052</v>
      </c>
      <c r="F30" s="20">
        <f>D30*E30</f>
        <v>4.272112</v>
      </c>
      <c r="G30" s="80">
        <f>B30*12.89/1199.03</f>
        <v>0.8832062917525001</v>
      </c>
      <c r="H30" s="80"/>
      <c r="I30" s="65">
        <f>F30+G30+H30</f>
        <v>5.1553182917525</v>
      </c>
      <c r="J30" s="62">
        <v>1199.03</v>
      </c>
      <c r="K30" s="2">
        <f>I30*J30</f>
        <v>6181.3812913599995</v>
      </c>
      <c r="L30" s="53">
        <f>D30</f>
        <v>82.156</v>
      </c>
      <c r="M30" s="112">
        <f>K30/L30</f>
        <v>75.23955999999998</v>
      </c>
      <c r="N30" s="85">
        <v>9.75</v>
      </c>
      <c r="O30" s="20">
        <f>G30+H30+N30</f>
        <v>10.6332062917525</v>
      </c>
      <c r="P30" s="65">
        <f>O30-I30</f>
        <v>5.477888000000001</v>
      </c>
      <c r="Q30" s="58">
        <v>1478.3</v>
      </c>
      <c r="R30" s="1">
        <f>P30*J30</f>
        <v>6568.152048640001</v>
      </c>
      <c r="S30" s="4">
        <f>R30/Q30</f>
        <v>4.443044069972267</v>
      </c>
      <c r="T30" s="106">
        <f>O30*J30/D30</f>
        <v>155.1868803252349</v>
      </c>
    </row>
    <row r="31" spans="1:15" ht="12.75">
      <c r="A31" s="5"/>
      <c r="B31" s="114">
        <f>SUM(B28:B30)</f>
        <v>649.597</v>
      </c>
      <c r="C31" s="9"/>
      <c r="D31" s="5"/>
      <c r="E31" s="9"/>
      <c r="F31" s="9"/>
      <c r="G31" s="9"/>
      <c r="H31" s="113"/>
      <c r="I31" s="9"/>
      <c r="J31" s="9"/>
      <c r="K31" s="9"/>
      <c r="L31" s="9"/>
      <c r="M31" s="5"/>
      <c r="N31" s="3">
        <f>SUM(N28:N30)</f>
        <v>63.099000000000004</v>
      </c>
      <c r="O31" s="3">
        <f>SUM(O28:O30)</f>
        <v>70.08239935614623</v>
      </c>
    </row>
    <row r="32" spans="2:16" ht="12.75">
      <c r="B32">
        <f>B31*12.89</f>
        <v>8373.30533</v>
      </c>
      <c r="G32" s="5"/>
      <c r="M32" s="5"/>
      <c r="N32" s="10">
        <f>N31*1199.03</f>
        <v>75657.59397</v>
      </c>
      <c r="O32" s="287">
        <f>O31*1199.03</f>
        <v>84030.8993</v>
      </c>
      <c r="P32" s="287"/>
    </row>
    <row r="33" spans="13:16" ht="12.75">
      <c r="M33" s="5"/>
      <c r="N33" s="10"/>
      <c r="O33" s="287">
        <f>B32+N32</f>
        <v>84030.8993</v>
      </c>
      <c r="P33" s="287"/>
    </row>
    <row r="34" spans="15:16" ht="12.75">
      <c r="O34" s="287"/>
      <c r="P34" s="287"/>
    </row>
    <row r="35" spans="1:5" ht="12.75">
      <c r="A35" s="5" t="s">
        <v>137</v>
      </c>
      <c r="B35" s="9"/>
      <c r="C35" s="9"/>
      <c r="D35" s="5" t="s">
        <v>138</v>
      </c>
      <c r="E35" s="9"/>
    </row>
    <row r="37" ht="12.75">
      <c r="A37" t="s">
        <v>39</v>
      </c>
    </row>
  </sheetData>
  <mergeCells count="24">
    <mergeCell ref="T3:T4"/>
    <mergeCell ref="R3:R4"/>
    <mergeCell ref="H3:H4"/>
    <mergeCell ref="S3:S4"/>
    <mergeCell ref="P3:P4"/>
    <mergeCell ref="Q3:Q4"/>
    <mergeCell ref="O3:O4"/>
    <mergeCell ref="I3:I4"/>
    <mergeCell ref="J3:J4"/>
    <mergeCell ref="K3:K4"/>
    <mergeCell ref="H1:I1"/>
    <mergeCell ref="E3:E4"/>
    <mergeCell ref="F3:F4"/>
    <mergeCell ref="G3:G4"/>
    <mergeCell ref="O32:P32"/>
    <mergeCell ref="O33:P33"/>
    <mergeCell ref="O34:P34"/>
    <mergeCell ref="A3:A4"/>
    <mergeCell ref="B3:B4"/>
    <mergeCell ref="C3:C4"/>
    <mergeCell ref="D3:D4"/>
    <mergeCell ref="M3:M4"/>
    <mergeCell ref="N3:N4"/>
    <mergeCell ref="L3:L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УК ЖКХ "Управдом"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Бухгалтер2</dc:creator>
  <cp:keywords/>
  <dc:description/>
  <cp:lastModifiedBy>Гл. бухгалтер</cp:lastModifiedBy>
  <cp:lastPrinted>2015-01-15T10:35:18Z</cp:lastPrinted>
  <dcterms:created xsi:type="dcterms:W3CDTF">2010-11-15T10:27:40Z</dcterms:created>
  <dcterms:modified xsi:type="dcterms:W3CDTF">2015-01-16T12:20:42Z</dcterms:modified>
  <cp:category/>
  <cp:version/>
  <cp:contentType/>
  <cp:contentStatus/>
</cp:coreProperties>
</file>